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ton01\Documents\Offline Records (PR)\BN INT - 2022-23 WaRR Report - Approval For Publishing (final version)\"/>
    </mc:Choice>
  </mc:AlternateContent>
  <xr:revisionPtr revIDLastSave="0" documentId="13_ncr:1_{238E2714-0D1B-415C-B7EB-41F6156E64FC}" xr6:coauthVersionLast="47" xr6:coauthVersionMax="47" xr10:uidLastSave="{00000000-0000-0000-0000-000000000000}"/>
  <bookViews>
    <workbookView xWindow="-120" yWindow="-120" windowWidth="51840" windowHeight="21240" tabRatio="762" activeTab="2" xr2:uid="{00000000-000D-0000-FFFF-FFFF00000000}"/>
  </bookViews>
  <sheets>
    <sheet name="App 1 - Services" sheetId="1" r:id="rId1"/>
    <sheet name="App 2 - Totals" sheetId="17" r:id="rId2"/>
    <sheet name="App 3 - Recycling Rate" sheetId="18" r:id="rId3"/>
    <sheet name="App 4 - Recyclables" sheetId="19" r:id="rId4"/>
    <sheet name="App 5 - Organics" sheetId="20" r:id="rId5"/>
    <sheet name="App 6 - Residual Waste" sheetId="21" r:id="rId6"/>
    <sheet name="App 7 - HH &amp; Capita" sheetId="22" r:id="rId7"/>
    <sheet name="App 8 - Bin Size" sheetId="23" r:id="rId8"/>
    <sheet name="App 8a - Materials Accepted" sheetId="24" r:id="rId9"/>
    <sheet name="App 9 - AWT" sheetId="25" r:id="rId10"/>
    <sheet name="App 10 - Cleanup materials" sheetId="26" r:id="rId11"/>
  </sheets>
  <definedNames>
    <definedName name="_xlnm._FilterDatabase" localSheetId="3" hidden="1">'App 4 - Recyclables'!$R$5:$T$133</definedName>
    <definedName name="_xlnm._FilterDatabase" localSheetId="4" hidden="1">'App 5 - Organics'!$A$4:$AJ$135</definedName>
    <definedName name="_xlnm._FilterDatabase" localSheetId="5" hidden="1">'App 6 - Residual Waste'!$A$4:$BG$132</definedName>
    <definedName name="_xlnm._FilterDatabase" localSheetId="6" hidden="1">'App 7 - HH &amp; Capita'!$A$3:$AL$132</definedName>
    <definedName name="_xlnm.Print_Area" localSheetId="0">'App 1 - Services'!$A$1:$R$135</definedName>
    <definedName name="_xlnm.Print_Titles" localSheetId="0">'App 1 - Services'!$1:$3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5" i="18" l="1"/>
  <c r="G61" i="21"/>
  <c r="G14" i="21"/>
  <c r="F223" i="26"/>
  <c r="G223" i="26"/>
  <c r="H223" i="26"/>
  <c r="J223" i="26"/>
  <c r="K223" i="26"/>
  <c r="L223" i="26"/>
  <c r="N223" i="26"/>
  <c r="O223" i="26"/>
  <c r="P223" i="26"/>
  <c r="R223" i="26"/>
  <c r="S223" i="26"/>
  <c r="T223" i="26"/>
  <c r="V223" i="26"/>
  <c r="W223" i="26"/>
  <c r="X223" i="26"/>
  <c r="Z223" i="26"/>
  <c r="AA223" i="26"/>
  <c r="AB223" i="26"/>
  <c r="F224" i="26"/>
  <c r="G224" i="26"/>
  <c r="H224" i="26"/>
  <c r="J224" i="26"/>
  <c r="K224" i="26"/>
  <c r="L224" i="26"/>
  <c r="N224" i="26"/>
  <c r="O224" i="26"/>
  <c r="P224" i="26"/>
  <c r="R224" i="26"/>
  <c r="S224" i="26"/>
  <c r="T224" i="26"/>
  <c r="V224" i="26"/>
  <c r="W224" i="26"/>
  <c r="X224" i="26"/>
  <c r="Z224" i="26"/>
  <c r="AA224" i="26"/>
  <c r="AB224" i="26"/>
  <c r="F225" i="26"/>
  <c r="G225" i="26"/>
  <c r="H225" i="26"/>
  <c r="J225" i="26"/>
  <c r="K225" i="26"/>
  <c r="L225" i="26"/>
  <c r="N225" i="26"/>
  <c r="O225" i="26"/>
  <c r="P225" i="26"/>
  <c r="R225" i="26"/>
  <c r="S225" i="26"/>
  <c r="T225" i="26"/>
  <c r="V225" i="26"/>
  <c r="W225" i="26"/>
  <c r="X225" i="26"/>
  <c r="Z225" i="26"/>
  <c r="AA225" i="26"/>
  <c r="AB225" i="26"/>
  <c r="F226" i="26"/>
  <c r="G226" i="26"/>
  <c r="H226" i="26"/>
  <c r="J226" i="26"/>
  <c r="K226" i="26"/>
  <c r="L226" i="26"/>
  <c r="N226" i="26"/>
  <c r="O226" i="26"/>
  <c r="P226" i="26"/>
  <c r="R226" i="26"/>
  <c r="S226" i="26"/>
  <c r="T226" i="26"/>
  <c r="V226" i="26"/>
  <c r="W226" i="26"/>
  <c r="X226" i="26"/>
  <c r="Z226" i="26"/>
  <c r="AA226" i="26"/>
  <c r="AB226" i="26"/>
  <c r="F227" i="26"/>
  <c r="G227" i="26"/>
  <c r="H227" i="26"/>
  <c r="J227" i="26"/>
  <c r="K227" i="26"/>
  <c r="L227" i="26"/>
  <c r="N227" i="26"/>
  <c r="O227" i="26"/>
  <c r="P227" i="26"/>
  <c r="R227" i="26"/>
  <c r="S227" i="26"/>
  <c r="T227" i="26"/>
  <c r="V227" i="26"/>
  <c r="W227" i="26"/>
  <c r="X227" i="26"/>
  <c r="Z227" i="26"/>
  <c r="AA227" i="26"/>
  <c r="AB227" i="26"/>
  <c r="F228" i="26"/>
  <c r="G228" i="26"/>
  <c r="H228" i="26"/>
  <c r="J228" i="26"/>
  <c r="K228" i="26"/>
  <c r="L228" i="26"/>
  <c r="N228" i="26"/>
  <c r="O228" i="26"/>
  <c r="P228" i="26"/>
  <c r="R228" i="26"/>
  <c r="S228" i="26"/>
  <c r="T228" i="26"/>
  <c r="V228" i="26"/>
  <c r="W228" i="26"/>
  <c r="X228" i="26"/>
  <c r="Z228" i="26"/>
  <c r="AA228" i="26"/>
  <c r="AB228" i="26"/>
  <c r="F229" i="26"/>
  <c r="G229" i="26"/>
  <c r="H229" i="26"/>
  <c r="J229" i="26"/>
  <c r="K229" i="26"/>
  <c r="L229" i="26"/>
  <c r="N229" i="26"/>
  <c r="O229" i="26"/>
  <c r="P229" i="26"/>
  <c r="R229" i="26"/>
  <c r="S229" i="26"/>
  <c r="T229" i="26"/>
  <c r="V229" i="26"/>
  <c r="W229" i="26"/>
  <c r="X229" i="26"/>
  <c r="Z229" i="26"/>
  <c r="AA229" i="26"/>
  <c r="AB229" i="26"/>
  <c r="F230" i="26"/>
  <c r="G230" i="26"/>
  <c r="H230" i="26"/>
  <c r="J230" i="26"/>
  <c r="K230" i="26"/>
  <c r="L230" i="26"/>
  <c r="N230" i="26"/>
  <c r="O230" i="26"/>
  <c r="P230" i="26"/>
  <c r="R230" i="26"/>
  <c r="S230" i="26"/>
  <c r="T230" i="26"/>
  <c r="V230" i="26"/>
  <c r="W230" i="26"/>
  <c r="X230" i="26"/>
  <c r="Z230" i="26"/>
  <c r="AA230" i="26"/>
  <c r="AB230" i="26"/>
  <c r="F231" i="26"/>
  <c r="G231" i="26"/>
  <c r="H231" i="26"/>
  <c r="J231" i="26"/>
  <c r="K231" i="26"/>
  <c r="L231" i="26"/>
  <c r="N231" i="26"/>
  <c r="O231" i="26"/>
  <c r="P231" i="26"/>
  <c r="R231" i="26"/>
  <c r="S231" i="26"/>
  <c r="T231" i="26"/>
  <c r="V231" i="26"/>
  <c r="W231" i="26"/>
  <c r="X231" i="26"/>
  <c r="Z231" i="26"/>
  <c r="AA231" i="26"/>
  <c r="AB231" i="26"/>
  <c r="F232" i="26"/>
  <c r="G232" i="26"/>
  <c r="H232" i="26"/>
  <c r="J232" i="26"/>
  <c r="K232" i="26"/>
  <c r="L232" i="26"/>
  <c r="N232" i="26"/>
  <c r="O232" i="26"/>
  <c r="P232" i="26"/>
  <c r="R232" i="26"/>
  <c r="S232" i="26"/>
  <c r="T232" i="26"/>
  <c r="V232" i="26"/>
  <c r="W232" i="26"/>
  <c r="X232" i="26"/>
  <c r="Z232" i="26"/>
  <c r="AA232" i="26"/>
  <c r="AB232" i="26"/>
  <c r="F233" i="26"/>
  <c r="G233" i="26"/>
  <c r="H233" i="26"/>
  <c r="J233" i="26"/>
  <c r="K233" i="26"/>
  <c r="L233" i="26"/>
  <c r="N233" i="26"/>
  <c r="O233" i="26"/>
  <c r="P233" i="26"/>
  <c r="R233" i="26"/>
  <c r="S233" i="26"/>
  <c r="T233" i="26"/>
  <c r="V233" i="26"/>
  <c r="W233" i="26"/>
  <c r="X233" i="26"/>
  <c r="Z233" i="26"/>
  <c r="AA233" i="26"/>
  <c r="AB233" i="26"/>
  <c r="F234" i="26"/>
  <c r="G234" i="26"/>
  <c r="H234" i="26"/>
  <c r="J234" i="26"/>
  <c r="K234" i="26"/>
  <c r="L234" i="26"/>
  <c r="N234" i="26"/>
  <c r="O234" i="26"/>
  <c r="P234" i="26"/>
  <c r="R234" i="26"/>
  <c r="S234" i="26"/>
  <c r="T234" i="26"/>
  <c r="V234" i="26"/>
  <c r="W234" i="26"/>
  <c r="X234" i="26"/>
  <c r="Z234" i="26"/>
  <c r="AA234" i="26"/>
  <c r="AB234" i="26"/>
  <c r="F235" i="26"/>
  <c r="G235" i="26"/>
  <c r="H235" i="26"/>
  <c r="J235" i="26"/>
  <c r="K235" i="26"/>
  <c r="L235" i="26"/>
  <c r="N235" i="26"/>
  <c r="O235" i="26"/>
  <c r="P235" i="26"/>
  <c r="R235" i="26"/>
  <c r="S235" i="26"/>
  <c r="T235" i="26"/>
  <c r="V235" i="26"/>
  <c r="W235" i="26"/>
  <c r="X235" i="26"/>
  <c r="Z235" i="26"/>
  <c r="AA235" i="26"/>
  <c r="AB235" i="26"/>
  <c r="F236" i="26"/>
  <c r="G236" i="26"/>
  <c r="H236" i="26"/>
  <c r="J236" i="26"/>
  <c r="K236" i="26"/>
  <c r="L236" i="26"/>
  <c r="N236" i="26"/>
  <c r="O236" i="26"/>
  <c r="P236" i="26"/>
  <c r="R236" i="26"/>
  <c r="S236" i="26"/>
  <c r="T236" i="26"/>
  <c r="V236" i="26"/>
  <c r="W236" i="26"/>
  <c r="X236" i="26"/>
  <c r="Z236" i="26"/>
  <c r="AA236" i="26"/>
  <c r="AB236" i="26"/>
  <c r="F237" i="26"/>
  <c r="G237" i="26"/>
  <c r="H237" i="26"/>
  <c r="J237" i="26"/>
  <c r="K237" i="26"/>
  <c r="L237" i="26"/>
  <c r="N237" i="26"/>
  <c r="O237" i="26"/>
  <c r="P237" i="26"/>
  <c r="R237" i="26"/>
  <c r="S237" i="26"/>
  <c r="T237" i="26"/>
  <c r="V237" i="26"/>
  <c r="W237" i="26"/>
  <c r="X237" i="26"/>
  <c r="Z237" i="26"/>
  <c r="AA237" i="26"/>
  <c r="AB237" i="26"/>
  <c r="F238" i="26"/>
  <c r="G238" i="26"/>
  <c r="H238" i="26"/>
  <c r="J238" i="26"/>
  <c r="K238" i="26"/>
  <c r="L238" i="26"/>
  <c r="N238" i="26"/>
  <c r="O238" i="26"/>
  <c r="P238" i="26"/>
  <c r="R238" i="26"/>
  <c r="S238" i="26"/>
  <c r="T238" i="26"/>
  <c r="V238" i="26"/>
  <c r="W238" i="26"/>
  <c r="X238" i="26"/>
  <c r="Z238" i="26"/>
  <c r="AA238" i="26"/>
  <c r="AB238" i="26"/>
  <c r="F239" i="26"/>
  <c r="G239" i="26"/>
  <c r="H239" i="26"/>
  <c r="J239" i="26"/>
  <c r="K239" i="26"/>
  <c r="L239" i="26"/>
  <c r="N239" i="26"/>
  <c r="O239" i="26"/>
  <c r="P239" i="26"/>
  <c r="R239" i="26"/>
  <c r="S239" i="26"/>
  <c r="T239" i="26"/>
  <c r="V239" i="26"/>
  <c r="W239" i="26"/>
  <c r="X239" i="26"/>
  <c r="Z239" i="26"/>
  <c r="AA239" i="26"/>
  <c r="AB239" i="26"/>
  <c r="F240" i="26"/>
  <c r="G240" i="26"/>
  <c r="H240" i="26"/>
  <c r="J240" i="26"/>
  <c r="K240" i="26"/>
  <c r="L240" i="26"/>
  <c r="N240" i="26"/>
  <c r="O240" i="26"/>
  <c r="P240" i="26"/>
  <c r="R240" i="26"/>
  <c r="S240" i="26"/>
  <c r="T240" i="26"/>
  <c r="V240" i="26"/>
  <c r="W240" i="26"/>
  <c r="X240" i="26"/>
  <c r="Z240" i="26"/>
  <c r="AA240" i="26"/>
  <c r="AB240" i="26"/>
  <c r="F241" i="26"/>
  <c r="G241" i="26"/>
  <c r="H241" i="26"/>
  <c r="J241" i="26"/>
  <c r="K241" i="26"/>
  <c r="L241" i="26"/>
  <c r="N241" i="26"/>
  <c r="O241" i="26"/>
  <c r="P241" i="26"/>
  <c r="R241" i="26"/>
  <c r="S241" i="26"/>
  <c r="T241" i="26"/>
  <c r="V241" i="26"/>
  <c r="W241" i="26"/>
  <c r="X241" i="26"/>
  <c r="Z241" i="26"/>
  <c r="AA241" i="26"/>
  <c r="AB241" i="26"/>
  <c r="F242" i="26"/>
  <c r="G242" i="26"/>
  <c r="H242" i="26"/>
  <c r="J242" i="26"/>
  <c r="K242" i="26"/>
  <c r="L242" i="26"/>
  <c r="N242" i="26"/>
  <c r="O242" i="26"/>
  <c r="P242" i="26"/>
  <c r="R242" i="26"/>
  <c r="S242" i="26"/>
  <c r="T242" i="26"/>
  <c r="V242" i="26"/>
  <c r="W242" i="26"/>
  <c r="X242" i="26"/>
  <c r="Z242" i="26"/>
  <c r="AA242" i="26"/>
  <c r="AB242" i="26"/>
  <c r="F243" i="26"/>
  <c r="G243" i="26"/>
  <c r="H243" i="26"/>
  <c r="J243" i="26"/>
  <c r="K243" i="26"/>
  <c r="L243" i="26"/>
  <c r="N243" i="26"/>
  <c r="O243" i="26"/>
  <c r="P243" i="26"/>
  <c r="R243" i="26"/>
  <c r="S243" i="26"/>
  <c r="T243" i="26"/>
  <c r="V243" i="26"/>
  <c r="W243" i="26"/>
  <c r="X243" i="26"/>
  <c r="Z243" i="26"/>
  <c r="AA243" i="26"/>
  <c r="AB243" i="26"/>
  <c r="F244" i="26"/>
  <c r="G244" i="26"/>
  <c r="H244" i="26"/>
  <c r="J244" i="26"/>
  <c r="K244" i="26"/>
  <c r="L244" i="26"/>
  <c r="N244" i="26"/>
  <c r="O244" i="26"/>
  <c r="P244" i="26"/>
  <c r="R244" i="26"/>
  <c r="S244" i="26"/>
  <c r="T244" i="26"/>
  <c r="V244" i="26"/>
  <c r="W244" i="26"/>
  <c r="X244" i="26"/>
  <c r="Z244" i="26"/>
  <c r="AA244" i="26"/>
  <c r="AB244" i="26"/>
  <c r="F245" i="26"/>
  <c r="G245" i="26"/>
  <c r="H245" i="26"/>
  <c r="J245" i="26"/>
  <c r="K245" i="26"/>
  <c r="L245" i="26"/>
  <c r="N245" i="26"/>
  <c r="O245" i="26"/>
  <c r="P245" i="26"/>
  <c r="R245" i="26"/>
  <c r="S245" i="26"/>
  <c r="T245" i="26"/>
  <c r="V245" i="26"/>
  <c r="W245" i="26"/>
  <c r="X245" i="26"/>
  <c r="Z245" i="26"/>
  <c r="AA245" i="26"/>
  <c r="AB245" i="26"/>
  <c r="F246" i="26"/>
  <c r="G246" i="26"/>
  <c r="H246" i="26"/>
  <c r="J246" i="26"/>
  <c r="K246" i="26"/>
  <c r="L246" i="26"/>
  <c r="N246" i="26"/>
  <c r="O246" i="26"/>
  <c r="P246" i="26"/>
  <c r="R246" i="26"/>
  <c r="S246" i="26"/>
  <c r="T246" i="26"/>
  <c r="V246" i="26"/>
  <c r="W246" i="26"/>
  <c r="X246" i="26"/>
  <c r="Z246" i="26"/>
  <c r="AA246" i="26"/>
  <c r="AB246" i="26"/>
  <c r="F247" i="26"/>
  <c r="G247" i="26"/>
  <c r="H247" i="26"/>
  <c r="J247" i="26"/>
  <c r="K247" i="26"/>
  <c r="L247" i="26"/>
  <c r="N247" i="26"/>
  <c r="O247" i="26"/>
  <c r="P247" i="26"/>
  <c r="R247" i="26"/>
  <c r="S247" i="26"/>
  <c r="T247" i="26"/>
  <c r="V247" i="26"/>
  <c r="W247" i="26"/>
  <c r="X247" i="26"/>
  <c r="Z247" i="26"/>
  <c r="AA247" i="26"/>
  <c r="AB247" i="26"/>
  <c r="F248" i="26"/>
  <c r="G248" i="26"/>
  <c r="H248" i="26"/>
  <c r="J248" i="26"/>
  <c r="K248" i="26"/>
  <c r="L248" i="26"/>
  <c r="N248" i="26"/>
  <c r="O248" i="26"/>
  <c r="P248" i="26"/>
  <c r="R248" i="26"/>
  <c r="S248" i="26"/>
  <c r="T248" i="26"/>
  <c r="V248" i="26"/>
  <c r="W248" i="26"/>
  <c r="X248" i="26"/>
  <c r="Z248" i="26"/>
  <c r="AA248" i="26"/>
  <c r="AB248" i="26"/>
  <c r="F249" i="26"/>
  <c r="G249" i="26"/>
  <c r="H249" i="26"/>
  <c r="J249" i="26"/>
  <c r="K249" i="26"/>
  <c r="L249" i="26"/>
  <c r="N249" i="26"/>
  <c r="O249" i="26"/>
  <c r="P249" i="26"/>
  <c r="R249" i="26"/>
  <c r="S249" i="26"/>
  <c r="T249" i="26"/>
  <c r="V249" i="26"/>
  <c r="W249" i="26"/>
  <c r="X249" i="26"/>
  <c r="Z249" i="26"/>
  <c r="AA249" i="26"/>
  <c r="AB249" i="26"/>
  <c r="F250" i="26"/>
  <c r="G250" i="26"/>
  <c r="H250" i="26"/>
  <c r="J250" i="26"/>
  <c r="K250" i="26"/>
  <c r="L250" i="26"/>
  <c r="N250" i="26"/>
  <c r="O250" i="26"/>
  <c r="P250" i="26"/>
  <c r="R250" i="26"/>
  <c r="S250" i="26"/>
  <c r="T250" i="26"/>
  <c r="V250" i="26"/>
  <c r="W250" i="26"/>
  <c r="X250" i="26"/>
  <c r="Z250" i="26"/>
  <c r="AA250" i="26"/>
  <c r="AB250" i="26"/>
  <c r="F251" i="26"/>
  <c r="G251" i="26"/>
  <c r="H251" i="26"/>
  <c r="J251" i="26"/>
  <c r="K251" i="26"/>
  <c r="L251" i="26"/>
  <c r="N251" i="26"/>
  <c r="O251" i="26"/>
  <c r="P251" i="26"/>
  <c r="R251" i="26"/>
  <c r="S251" i="26"/>
  <c r="T251" i="26"/>
  <c r="V251" i="26"/>
  <c r="W251" i="26"/>
  <c r="X251" i="26"/>
  <c r="Z251" i="26"/>
  <c r="AA251" i="26"/>
  <c r="AB251" i="26"/>
  <c r="F252" i="26"/>
  <c r="G252" i="26"/>
  <c r="H252" i="26"/>
  <c r="J252" i="26"/>
  <c r="K252" i="26"/>
  <c r="L252" i="26"/>
  <c r="N252" i="26"/>
  <c r="O252" i="26"/>
  <c r="P252" i="26"/>
  <c r="R252" i="26"/>
  <c r="S252" i="26"/>
  <c r="T252" i="26"/>
  <c r="V252" i="26"/>
  <c r="W252" i="26"/>
  <c r="X252" i="26"/>
  <c r="Z252" i="26"/>
  <c r="AA252" i="26"/>
  <c r="AB252" i="26"/>
  <c r="F253" i="26"/>
  <c r="G253" i="26"/>
  <c r="H253" i="26"/>
  <c r="J253" i="26"/>
  <c r="K253" i="26"/>
  <c r="L253" i="26"/>
  <c r="N253" i="26"/>
  <c r="O253" i="26"/>
  <c r="P253" i="26"/>
  <c r="R253" i="26"/>
  <c r="S253" i="26"/>
  <c r="T253" i="26"/>
  <c r="V253" i="26"/>
  <c r="W253" i="26"/>
  <c r="X253" i="26"/>
  <c r="Z253" i="26"/>
  <c r="AA253" i="26"/>
  <c r="AB253" i="26"/>
  <c r="F254" i="26"/>
  <c r="G254" i="26"/>
  <c r="H254" i="26"/>
  <c r="J254" i="26"/>
  <c r="K254" i="26"/>
  <c r="L254" i="26"/>
  <c r="N254" i="26"/>
  <c r="O254" i="26"/>
  <c r="P254" i="26"/>
  <c r="R254" i="26"/>
  <c r="S254" i="26"/>
  <c r="T254" i="26"/>
  <c r="V254" i="26"/>
  <c r="W254" i="26"/>
  <c r="X254" i="26"/>
  <c r="Z254" i="26"/>
  <c r="AA254" i="26"/>
  <c r="AB254" i="26"/>
  <c r="F255" i="26"/>
  <c r="G255" i="26"/>
  <c r="H255" i="26"/>
  <c r="J255" i="26"/>
  <c r="K255" i="26"/>
  <c r="L255" i="26"/>
  <c r="N255" i="26"/>
  <c r="O255" i="26"/>
  <c r="P255" i="26"/>
  <c r="R255" i="26"/>
  <c r="S255" i="26"/>
  <c r="T255" i="26"/>
  <c r="V255" i="26"/>
  <c r="W255" i="26"/>
  <c r="X255" i="26"/>
  <c r="Z255" i="26"/>
  <c r="AA255" i="26"/>
  <c r="AB255" i="26"/>
  <c r="F256" i="26"/>
  <c r="G256" i="26"/>
  <c r="H256" i="26"/>
  <c r="J256" i="26"/>
  <c r="K256" i="26"/>
  <c r="L256" i="26"/>
  <c r="N256" i="26"/>
  <c r="O256" i="26"/>
  <c r="P256" i="26"/>
  <c r="R256" i="26"/>
  <c r="S256" i="26"/>
  <c r="T256" i="26"/>
  <c r="V256" i="26"/>
  <c r="W256" i="26"/>
  <c r="X256" i="26"/>
  <c r="Z256" i="26"/>
  <c r="AA256" i="26"/>
  <c r="AB256" i="26"/>
  <c r="F257" i="26"/>
  <c r="G257" i="26"/>
  <c r="H257" i="26"/>
  <c r="J257" i="26"/>
  <c r="K257" i="26"/>
  <c r="L257" i="26"/>
  <c r="N257" i="26"/>
  <c r="O257" i="26"/>
  <c r="P257" i="26"/>
  <c r="R257" i="26"/>
  <c r="S257" i="26"/>
  <c r="T257" i="26"/>
  <c r="V257" i="26"/>
  <c r="W257" i="26"/>
  <c r="X257" i="26"/>
  <c r="Z257" i="26"/>
  <c r="AA257" i="26"/>
  <c r="AB257" i="26"/>
  <c r="F258" i="26"/>
  <c r="G258" i="26"/>
  <c r="H258" i="26"/>
  <c r="J258" i="26"/>
  <c r="K258" i="26"/>
  <c r="L258" i="26"/>
  <c r="N258" i="26"/>
  <c r="O258" i="26"/>
  <c r="P258" i="26"/>
  <c r="R258" i="26"/>
  <c r="S258" i="26"/>
  <c r="T258" i="26"/>
  <c r="V258" i="26"/>
  <c r="W258" i="26"/>
  <c r="X258" i="26"/>
  <c r="Z258" i="26"/>
  <c r="AA258" i="26"/>
  <c r="AB258" i="26"/>
  <c r="F259" i="26"/>
  <c r="G259" i="26"/>
  <c r="H259" i="26"/>
  <c r="J259" i="26"/>
  <c r="K259" i="26"/>
  <c r="L259" i="26"/>
  <c r="N259" i="26"/>
  <c r="O259" i="26"/>
  <c r="P259" i="26"/>
  <c r="R259" i="26"/>
  <c r="S259" i="26"/>
  <c r="T259" i="26"/>
  <c r="V259" i="26"/>
  <c r="W259" i="26"/>
  <c r="X259" i="26"/>
  <c r="Z259" i="26"/>
  <c r="AA259" i="26"/>
  <c r="AB259" i="26"/>
  <c r="F260" i="26"/>
  <c r="G260" i="26"/>
  <c r="H260" i="26"/>
  <c r="J260" i="26"/>
  <c r="K260" i="26"/>
  <c r="L260" i="26"/>
  <c r="N260" i="26"/>
  <c r="O260" i="26"/>
  <c r="P260" i="26"/>
  <c r="R260" i="26"/>
  <c r="S260" i="26"/>
  <c r="T260" i="26"/>
  <c r="V260" i="26"/>
  <c r="W260" i="26"/>
  <c r="X260" i="26"/>
  <c r="Z260" i="26"/>
  <c r="AA260" i="26"/>
  <c r="AB260" i="26"/>
  <c r="F261" i="26"/>
  <c r="G261" i="26"/>
  <c r="H261" i="26"/>
  <c r="J261" i="26"/>
  <c r="K261" i="26"/>
  <c r="L261" i="26"/>
  <c r="N261" i="26"/>
  <c r="O261" i="26"/>
  <c r="P261" i="26"/>
  <c r="R261" i="26"/>
  <c r="S261" i="26"/>
  <c r="T261" i="26"/>
  <c r="V261" i="26"/>
  <c r="W261" i="26"/>
  <c r="X261" i="26"/>
  <c r="Z261" i="26"/>
  <c r="AA261" i="26"/>
  <c r="AB261" i="26"/>
  <c r="F262" i="26"/>
  <c r="G262" i="26"/>
  <c r="H262" i="26"/>
  <c r="J262" i="26"/>
  <c r="K262" i="26"/>
  <c r="L262" i="26"/>
  <c r="N262" i="26"/>
  <c r="O262" i="26"/>
  <c r="P262" i="26"/>
  <c r="R262" i="26"/>
  <c r="S262" i="26"/>
  <c r="T262" i="26"/>
  <c r="V262" i="26"/>
  <c r="W262" i="26"/>
  <c r="X262" i="26"/>
  <c r="Z262" i="26"/>
  <c r="AA262" i="26"/>
  <c r="AB262" i="26"/>
  <c r="F263" i="26"/>
  <c r="G263" i="26"/>
  <c r="H263" i="26"/>
  <c r="J263" i="26"/>
  <c r="K263" i="26"/>
  <c r="L263" i="26"/>
  <c r="N263" i="26"/>
  <c r="O263" i="26"/>
  <c r="P263" i="26"/>
  <c r="R263" i="26"/>
  <c r="S263" i="26"/>
  <c r="T263" i="26"/>
  <c r="V263" i="26"/>
  <c r="W263" i="26"/>
  <c r="X263" i="26"/>
  <c r="Z263" i="26"/>
  <c r="AA263" i="26"/>
  <c r="AB263" i="26"/>
  <c r="F264" i="26"/>
  <c r="G264" i="26"/>
  <c r="H264" i="26"/>
  <c r="J264" i="26"/>
  <c r="K264" i="26"/>
  <c r="L264" i="26"/>
  <c r="N264" i="26"/>
  <c r="O264" i="26"/>
  <c r="P264" i="26"/>
  <c r="R264" i="26"/>
  <c r="S264" i="26"/>
  <c r="T264" i="26"/>
  <c r="V264" i="26"/>
  <c r="W264" i="26"/>
  <c r="X264" i="26"/>
  <c r="Z264" i="26"/>
  <c r="AA264" i="26"/>
  <c r="AB264" i="26"/>
  <c r="F265" i="26"/>
  <c r="G265" i="26"/>
  <c r="H265" i="26"/>
  <c r="J265" i="26"/>
  <c r="K265" i="26"/>
  <c r="L265" i="26"/>
  <c r="N265" i="26"/>
  <c r="O265" i="26"/>
  <c r="P265" i="26"/>
  <c r="R265" i="26"/>
  <c r="S265" i="26"/>
  <c r="T265" i="26"/>
  <c r="V265" i="26"/>
  <c r="W265" i="26"/>
  <c r="X265" i="26"/>
  <c r="Z265" i="26"/>
  <c r="AA265" i="26"/>
  <c r="AB265" i="26"/>
  <c r="F266" i="26"/>
  <c r="G266" i="26"/>
  <c r="H266" i="26"/>
  <c r="J266" i="26"/>
  <c r="K266" i="26"/>
  <c r="L266" i="26"/>
  <c r="N266" i="26"/>
  <c r="O266" i="26"/>
  <c r="P266" i="26"/>
  <c r="R266" i="26"/>
  <c r="S266" i="26"/>
  <c r="T266" i="26"/>
  <c r="V266" i="26"/>
  <c r="W266" i="26"/>
  <c r="X266" i="26"/>
  <c r="Z266" i="26"/>
  <c r="AA266" i="26"/>
  <c r="AB266" i="26"/>
  <c r="F267" i="26"/>
  <c r="G267" i="26"/>
  <c r="H267" i="26"/>
  <c r="J267" i="26"/>
  <c r="K267" i="26"/>
  <c r="L267" i="26"/>
  <c r="N267" i="26"/>
  <c r="O267" i="26"/>
  <c r="P267" i="26"/>
  <c r="R267" i="26"/>
  <c r="S267" i="26"/>
  <c r="T267" i="26"/>
  <c r="V267" i="26"/>
  <c r="W267" i="26"/>
  <c r="X267" i="26"/>
  <c r="Z267" i="26"/>
  <c r="AA267" i="26"/>
  <c r="AB267" i="26"/>
  <c r="F268" i="26"/>
  <c r="G268" i="26"/>
  <c r="H268" i="26"/>
  <c r="J268" i="26"/>
  <c r="K268" i="26"/>
  <c r="L268" i="26"/>
  <c r="N268" i="26"/>
  <c r="O268" i="26"/>
  <c r="P268" i="26"/>
  <c r="R268" i="26"/>
  <c r="S268" i="26"/>
  <c r="T268" i="26"/>
  <c r="V268" i="26"/>
  <c r="W268" i="26"/>
  <c r="X268" i="26"/>
  <c r="Z268" i="26"/>
  <c r="AA268" i="26"/>
  <c r="AB268" i="26"/>
  <c r="F269" i="26"/>
  <c r="G269" i="26"/>
  <c r="H269" i="26"/>
  <c r="J269" i="26"/>
  <c r="K269" i="26"/>
  <c r="L269" i="26"/>
  <c r="N269" i="26"/>
  <c r="O269" i="26"/>
  <c r="P269" i="26"/>
  <c r="R269" i="26"/>
  <c r="S269" i="26"/>
  <c r="T269" i="26"/>
  <c r="V269" i="26"/>
  <c r="W269" i="26"/>
  <c r="X269" i="26"/>
  <c r="Z269" i="26"/>
  <c r="AA269" i="26"/>
  <c r="AB269" i="26"/>
  <c r="F270" i="26"/>
  <c r="G270" i="26"/>
  <c r="H270" i="26"/>
  <c r="J270" i="26"/>
  <c r="K270" i="26"/>
  <c r="L270" i="26"/>
  <c r="N270" i="26"/>
  <c r="O270" i="26"/>
  <c r="P270" i="26"/>
  <c r="R270" i="26"/>
  <c r="S270" i="26"/>
  <c r="T270" i="26"/>
  <c r="V270" i="26"/>
  <c r="W270" i="26"/>
  <c r="X270" i="26"/>
  <c r="Z270" i="26"/>
  <c r="AA270" i="26"/>
  <c r="AB270" i="26"/>
  <c r="F271" i="26"/>
  <c r="G271" i="26"/>
  <c r="H271" i="26"/>
  <c r="J271" i="26"/>
  <c r="K271" i="26"/>
  <c r="L271" i="26"/>
  <c r="N271" i="26"/>
  <c r="O271" i="26"/>
  <c r="P271" i="26"/>
  <c r="R271" i="26"/>
  <c r="S271" i="26"/>
  <c r="T271" i="26"/>
  <c r="V271" i="26"/>
  <c r="W271" i="26"/>
  <c r="X271" i="26"/>
  <c r="Z271" i="26"/>
  <c r="AA271" i="26"/>
  <c r="AB271" i="26"/>
  <c r="F272" i="26"/>
  <c r="G272" i="26"/>
  <c r="H272" i="26"/>
  <c r="J272" i="26"/>
  <c r="K272" i="26"/>
  <c r="L272" i="26"/>
  <c r="N272" i="26"/>
  <c r="O272" i="26"/>
  <c r="P272" i="26"/>
  <c r="R272" i="26"/>
  <c r="S272" i="26"/>
  <c r="T272" i="26"/>
  <c r="V272" i="26"/>
  <c r="W272" i="26"/>
  <c r="X272" i="26"/>
  <c r="Z272" i="26"/>
  <c r="AA272" i="26"/>
  <c r="AB272" i="26"/>
  <c r="F273" i="26"/>
  <c r="G273" i="26"/>
  <c r="H273" i="26"/>
  <c r="J273" i="26"/>
  <c r="K273" i="26"/>
  <c r="L273" i="26"/>
  <c r="N273" i="26"/>
  <c r="O273" i="26"/>
  <c r="P273" i="26"/>
  <c r="R273" i="26"/>
  <c r="S273" i="26"/>
  <c r="T273" i="26"/>
  <c r="V273" i="26"/>
  <c r="W273" i="26"/>
  <c r="X273" i="26"/>
  <c r="Z273" i="26"/>
  <c r="AA273" i="26"/>
  <c r="AB273" i="26"/>
  <c r="F274" i="26"/>
  <c r="G274" i="26"/>
  <c r="H274" i="26"/>
  <c r="J274" i="26"/>
  <c r="K274" i="26"/>
  <c r="L274" i="26"/>
  <c r="N274" i="26"/>
  <c r="O274" i="26"/>
  <c r="P274" i="26"/>
  <c r="R274" i="26"/>
  <c r="S274" i="26"/>
  <c r="T274" i="26"/>
  <c r="V274" i="26"/>
  <c r="W274" i="26"/>
  <c r="X274" i="26"/>
  <c r="Z274" i="26"/>
  <c r="AA274" i="26"/>
  <c r="AB274" i="26"/>
  <c r="F275" i="26"/>
  <c r="G275" i="26"/>
  <c r="H275" i="26"/>
  <c r="J275" i="26"/>
  <c r="K275" i="26"/>
  <c r="L275" i="26"/>
  <c r="N275" i="26"/>
  <c r="O275" i="26"/>
  <c r="P275" i="26"/>
  <c r="R275" i="26"/>
  <c r="S275" i="26"/>
  <c r="T275" i="26"/>
  <c r="V275" i="26"/>
  <c r="W275" i="26"/>
  <c r="X275" i="26"/>
  <c r="Z275" i="26"/>
  <c r="AA275" i="26"/>
  <c r="AB275" i="26"/>
  <c r="F276" i="26"/>
  <c r="G276" i="26"/>
  <c r="H276" i="26"/>
  <c r="J276" i="26"/>
  <c r="K276" i="26"/>
  <c r="L276" i="26"/>
  <c r="N276" i="26"/>
  <c r="O276" i="26"/>
  <c r="P276" i="26"/>
  <c r="R276" i="26"/>
  <c r="S276" i="26"/>
  <c r="T276" i="26"/>
  <c r="V276" i="26"/>
  <c r="W276" i="26"/>
  <c r="X276" i="26"/>
  <c r="Z276" i="26"/>
  <c r="AA276" i="26"/>
  <c r="AB276" i="26"/>
  <c r="F277" i="26"/>
  <c r="G277" i="26"/>
  <c r="H277" i="26"/>
  <c r="J277" i="26"/>
  <c r="K277" i="26"/>
  <c r="L277" i="26"/>
  <c r="N277" i="26"/>
  <c r="O277" i="26"/>
  <c r="P277" i="26"/>
  <c r="R277" i="26"/>
  <c r="S277" i="26"/>
  <c r="T277" i="26"/>
  <c r="V277" i="26"/>
  <c r="W277" i="26"/>
  <c r="X277" i="26"/>
  <c r="Z277" i="26"/>
  <c r="AA277" i="26"/>
  <c r="AB277" i="26"/>
  <c r="F278" i="26"/>
  <c r="G278" i="26"/>
  <c r="H278" i="26"/>
  <c r="J278" i="26"/>
  <c r="K278" i="26"/>
  <c r="L278" i="26"/>
  <c r="N278" i="26"/>
  <c r="O278" i="26"/>
  <c r="P278" i="26"/>
  <c r="R278" i="26"/>
  <c r="S278" i="26"/>
  <c r="T278" i="26"/>
  <c r="V278" i="26"/>
  <c r="W278" i="26"/>
  <c r="X278" i="26"/>
  <c r="Z278" i="26"/>
  <c r="AA278" i="26"/>
  <c r="AB278" i="26"/>
  <c r="F279" i="26"/>
  <c r="G279" i="26"/>
  <c r="H279" i="26"/>
  <c r="J279" i="26"/>
  <c r="K279" i="26"/>
  <c r="L279" i="26"/>
  <c r="N279" i="26"/>
  <c r="O279" i="26"/>
  <c r="P279" i="26"/>
  <c r="R279" i="26"/>
  <c r="S279" i="26"/>
  <c r="T279" i="26"/>
  <c r="V279" i="26"/>
  <c r="W279" i="26"/>
  <c r="X279" i="26"/>
  <c r="Z279" i="26"/>
  <c r="AA279" i="26"/>
  <c r="AB279" i="26"/>
  <c r="F280" i="26"/>
  <c r="G280" i="26"/>
  <c r="H280" i="26"/>
  <c r="J280" i="26"/>
  <c r="K280" i="26"/>
  <c r="L280" i="26"/>
  <c r="N280" i="26"/>
  <c r="O280" i="26"/>
  <c r="P280" i="26"/>
  <c r="R280" i="26"/>
  <c r="S280" i="26"/>
  <c r="T280" i="26"/>
  <c r="V280" i="26"/>
  <c r="W280" i="26"/>
  <c r="X280" i="26"/>
  <c r="Z280" i="26"/>
  <c r="AA280" i="26"/>
  <c r="AB280" i="26"/>
  <c r="F281" i="26"/>
  <c r="G281" i="26"/>
  <c r="H281" i="26"/>
  <c r="J281" i="26"/>
  <c r="K281" i="26"/>
  <c r="L281" i="26"/>
  <c r="N281" i="26"/>
  <c r="O281" i="26"/>
  <c r="P281" i="26"/>
  <c r="R281" i="26"/>
  <c r="S281" i="26"/>
  <c r="T281" i="26"/>
  <c r="V281" i="26"/>
  <c r="W281" i="26"/>
  <c r="X281" i="26"/>
  <c r="Z281" i="26"/>
  <c r="AA281" i="26"/>
  <c r="AB281" i="26"/>
  <c r="F282" i="26"/>
  <c r="G282" i="26"/>
  <c r="H282" i="26"/>
  <c r="J282" i="26"/>
  <c r="K282" i="26"/>
  <c r="L282" i="26"/>
  <c r="N282" i="26"/>
  <c r="O282" i="26"/>
  <c r="P282" i="26"/>
  <c r="R282" i="26"/>
  <c r="S282" i="26"/>
  <c r="T282" i="26"/>
  <c r="V282" i="26"/>
  <c r="W282" i="26"/>
  <c r="X282" i="26"/>
  <c r="Z282" i="26"/>
  <c r="AA282" i="26"/>
  <c r="AB282" i="26"/>
  <c r="F283" i="26"/>
  <c r="G283" i="26"/>
  <c r="H283" i="26"/>
  <c r="J283" i="26"/>
  <c r="K283" i="26"/>
  <c r="L283" i="26"/>
  <c r="N283" i="26"/>
  <c r="O283" i="26"/>
  <c r="P283" i="26"/>
  <c r="R283" i="26"/>
  <c r="S283" i="26"/>
  <c r="T283" i="26"/>
  <c r="V283" i="26"/>
  <c r="W283" i="26"/>
  <c r="X283" i="26"/>
  <c r="Z283" i="26"/>
  <c r="AA283" i="26"/>
  <c r="AB283" i="26"/>
  <c r="F284" i="26"/>
  <c r="G284" i="26"/>
  <c r="H284" i="26"/>
  <c r="J284" i="26"/>
  <c r="K284" i="26"/>
  <c r="L284" i="26"/>
  <c r="N284" i="26"/>
  <c r="O284" i="26"/>
  <c r="P284" i="26"/>
  <c r="R284" i="26"/>
  <c r="S284" i="26"/>
  <c r="T284" i="26"/>
  <c r="V284" i="26"/>
  <c r="W284" i="26"/>
  <c r="X284" i="26"/>
  <c r="Z284" i="26"/>
  <c r="AA284" i="26"/>
  <c r="AB284" i="26"/>
  <c r="F285" i="26"/>
  <c r="G285" i="26"/>
  <c r="H285" i="26"/>
  <c r="J285" i="26"/>
  <c r="K285" i="26"/>
  <c r="L285" i="26"/>
  <c r="N285" i="26"/>
  <c r="O285" i="26"/>
  <c r="P285" i="26"/>
  <c r="R285" i="26"/>
  <c r="S285" i="26"/>
  <c r="T285" i="26"/>
  <c r="V285" i="26"/>
  <c r="W285" i="26"/>
  <c r="X285" i="26"/>
  <c r="Z285" i="26"/>
  <c r="AA285" i="26"/>
  <c r="AB285" i="26"/>
  <c r="F286" i="26"/>
  <c r="G286" i="26"/>
  <c r="H286" i="26"/>
  <c r="J286" i="26"/>
  <c r="K286" i="26"/>
  <c r="L286" i="26"/>
  <c r="N286" i="26"/>
  <c r="O286" i="26"/>
  <c r="P286" i="26"/>
  <c r="R286" i="26"/>
  <c r="S286" i="26"/>
  <c r="T286" i="26"/>
  <c r="V286" i="26"/>
  <c r="W286" i="26"/>
  <c r="X286" i="26"/>
  <c r="Z286" i="26"/>
  <c r="AA286" i="26"/>
  <c r="AB286" i="26"/>
  <c r="F287" i="26"/>
  <c r="G287" i="26"/>
  <c r="H287" i="26"/>
  <c r="J287" i="26"/>
  <c r="K287" i="26"/>
  <c r="L287" i="26"/>
  <c r="N287" i="26"/>
  <c r="O287" i="26"/>
  <c r="P287" i="26"/>
  <c r="R287" i="26"/>
  <c r="S287" i="26"/>
  <c r="T287" i="26"/>
  <c r="V287" i="26"/>
  <c r="W287" i="26"/>
  <c r="X287" i="26"/>
  <c r="Z287" i="26"/>
  <c r="AA287" i="26"/>
  <c r="AB287" i="26"/>
  <c r="G222" i="26"/>
  <c r="H222" i="26"/>
  <c r="J222" i="26"/>
  <c r="K222" i="26"/>
  <c r="L222" i="26"/>
  <c r="N222" i="26"/>
  <c r="O222" i="26"/>
  <c r="P222" i="26"/>
  <c r="R222" i="26"/>
  <c r="S222" i="26"/>
  <c r="T222" i="26"/>
  <c r="V222" i="26"/>
  <c r="W222" i="26"/>
  <c r="X222" i="26"/>
  <c r="Z222" i="26"/>
  <c r="AA222" i="26"/>
  <c r="AB222" i="26"/>
  <c r="F222" i="26"/>
  <c r="F195" i="26"/>
  <c r="G195" i="26"/>
  <c r="H195" i="26"/>
  <c r="J195" i="26"/>
  <c r="K195" i="26"/>
  <c r="L195" i="26"/>
  <c r="N195" i="26"/>
  <c r="O195" i="26"/>
  <c r="P195" i="26"/>
  <c r="R195" i="26"/>
  <c r="S195" i="26"/>
  <c r="T195" i="26"/>
  <c r="V195" i="26"/>
  <c r="W195" i="26"/>
  <c r="X195" i="26"/>
  <c r="Z195" i="26"/>
  <c r="AA195" i="26"/>
  <c r="AB195" i="26"/>
  <c r="F196" i="26"/>
  <c r="G196" i="26"/>
  <c r="H196" i="26"/>
  <c r="J196" i="26"/>
  <c r="K196" i="26"/>
  <c r="L196" i="26"/>
  <c r="N196" i="26"/>
  <c r="O196" i="26"/>
  <c r="P196" i="26"/>
  <c r="R196" i="26"/>
  <c r="S196" i="26"/>
  <c r="T196" i="26"/>
  <c r="V196" i="26"/>
  <c r="W196" i="26"/>
  <c r="X196" i="26"/>
  <c r="Z196" i="26"/>
  <c r="AA196" i="26"/>
  <c r="AB196" i="26"/>
  <c r="F197" i="26"/>
  <c r="G197" i="26"/>
  <c r="H197" i="26"/>
  <c r="J197" i="26"/>
  <c r="K197" i="26"/>
  <c r="L197" i="26"/>
  <c r="N197" i="26"/>
  <c r="O197" i="26"/>
  <c r="P197" i="26"/>
  <c r="R197" i="26"/>
  <c r="S197" i="26"/>
  <c r="T197" i="26"/>
  <c r="V197" i="26"/>
  <c r="W197" i="26"/>
  <c r="X197" i="26"/>
  <c r="Z197" i="26"/>
  <c r="AA197" i="26"/>
  <c r="AB197" i="26"/>
  <c r="F198" i="26"/>
  <c r="G198" i="26"/>
  <c r="H198" i="26"/>
  <c r="J198" i="26"/>
  <c r="K198" i="26"/>
  <c r="L198" i="26"/>
  <c r="N198" i="26"/>
  <c r="O198" i="26"/>
  <c r="P198" i="26"/>
  <c r="R198" i="26"/>
  <c r="S198" i="26"/>
  <c r="T198" i="26"/>
  <c r="V198" i="26"/>
  <c r="W198" i="26"/>
  <c r="X198" i="26"/>
  <c r="Z198" i="26"/>
  <c r="AA198" i="26"/>
  <c r="AB198" i="26"/>
  <c r="F199" i="26"/>
  <c r="G199" i="26"/>
  <c r="H199" i="26"/>
  <c r="J199" i="26"/>
  <c r="K199" i="26"/>
  <c r="L199" i="26"/>
  <c r="N199" i="26"/>
  <c r="O199" i="26"/>
  <c r="P199" i="26"/>
  <c r="R199" i="26"/>
  <c r="S199" i="26"/>
  <c r="T199" i="26"/>
  <c r="V199" i="26"/>
  <c r="W199" i="26"/>
  <c r="X199" i="26"/>
  <c r="Z199" i="26"/>
  <c r="AA199" i="26"/>
  <c r="AB199" i="26"/>
  <c r="F200" i="26"/>
  <c r="G200" i="26"/>
  <c r="H200" i="26"/>
  <c r="J200" i="26"/>
  <c r="K200" i="26"/>
  <c r="L200" i="26"/>
  <c r="N200" i="26"/>
  <c r="O200" i="26"/>
  <c r="P200" i="26"/>
  <c r="R200" i="26"/>
  <c r="S200" i="26"/>
  <c r="T200" i="26"/>
  <c r="V200" i="26"/>
  <c r="W200" i="26"/>
  <c r="X200" i="26"/>
  <c r="Z200" i="26"/>
  <c r="AA200" i="26"/>
  <c r="AB200" i="26"/>
  <c r="F201" i="26"/>
  <c r="G201" i="26"/>
  <c r="H201" i="26"/>
  <c r="J201" i="26"/>
  <c r="K201" i="26"/>
  <c r="L201" i="26"/>
  <c r="N201" i="26"/>
  <c r="O201" i="26"/>
  <c r="P201" i="26"/>
  <c r="R201" i="26"/>
  <c r="S201" i="26"/>
  <c r="T201" i="26"/>
  <c r="V201" i="26"/>
  <c r="W201" i="26"/>
  <c r="X201" i="26"/>
  <c r="Z201" i="26"/>
  <c r="AA201" i="26"/>
  <c r="AB201" i="26"/>
  <c r="F202" i="26"/>
  <c r="G202" i="26"/>
  <c r="H202" i="26"/>
  <c r="J202" i="26"/>
  <c r="K202" i="26"/>
  <c r="L202" i="26"/>
  <c r="N202" i="26"/>
  <c r="O202" i="26"/>
  <c r="P202" i="26"/>
  <c r="R202" i="26"/>
  <c r="S202" i="26"/>
  <c r="T202" i="26"/>
  <c r="V202" i="26"/>
  <c r="W202" i="26"/>
  <c r="X202" i="26"/>
  <c r="Z202" i="26"/>
  <c r="AA202" i="26"/>
  <c r="AB202" i="26"/>
  <c r="F203" i="26"/>
  <c r="G203" i="26"/>
  <c r="H203" i="26"/>
  <c r="J203" i="26"/>
  <c r="K203" i="26"/>
  <c r="L203" i="26"/>
  <c r="N203" i="26"/>
  <c r="O203" i="26"/>
  <c r="P203" i="26"/>
  <c r="R203" i="26"/>
  <c r="S203" i="26"/>
  <c r="T203" i="26"/>
  <c r="V203" i="26"/>
  <c r="W203" i="26"/>
  <c r="X203" i="26"/>
  <c r="Z203" i="26"/>
  <c r="AA203" i="26"/>
  <c r="AB203" i="26"/>
  <c r="F204" i="26"/>
  <c r="G204" i="26"/>
  <c r="H204" i="26"/>
  <c r="J204" i="26"/>
  <c r="K204" i="26"/>
  <c r="L204" i="26"/>
  <c r="N204" i="26"/>
  <c r="O204" i="26"/>
  <c r="P204" i="26"/>
  <c r="R204" i="26"/>
  <c r="S204" i="26"/>
  <c r="T204" i="26"/>
  <c r="V204" i="26"/>
  <c r="W204" i="26"/>
  <c r="X204" i="26"/>
  <c r="Z204" i="26"/>
  <c r="AA204" i="26"/>
  <c r="AB204" i="26"/>
  <c r="F205" i="26"/>
  <c r="G205" i="26"/>
  <c r="H205" i="26"/>
  <c r="J205" i="26"/>
  <c r="K205" i="26"/>
  <c r="L205" i="26"/>
  <c r="N205" i="26"/>
  <c r="O205" i="26"/>
  <c r="P205" i="26"/>
  <c r="R205" i="26"/>
  <c r="S205" i="26"/>
  <c r="T205" i="26"/>
  <c r="V205" i="26"/>
  <c r="W205" i="26"/>
  <c r="X205" i="26"/>
  <c r="Z205" i="26"/>
  <c r="AA205" i="26"/>
  <c r="AB205" i="26"/>
  <c r="F206" i="26"/>
  <c r="G206" i="26"/>
  <c r="H206" i="26"/>
  <c r="J206" i="26"/>
  <c r="K206" i="26"/>
  <c r="L206" i="26"/>
  <c r="N206" i="26"/>
  <c r="O206" i="26"/>
  <c r="P206" i="26"/>
  <c r="R206" i="26"/>
  <c r="S206" i="26"/>
  <c r="T206" i="26"/>
  <c r="V206" i="26"/>
  <c r="W206" i="26"/>
  <c r="X206" i="26"/>
  <c r="Z206" i="26"/>
  <c r="AA206" i="26"/>
  <c r="AB206" i="26"/>
  <c r="F207" i="26"/>
  <c r="G207" i="26"/>
  <c r="H207" i="26"/>
  <c r="J207" i="26"/>
  <c r="K207" i="26"/>
  <c r="L207" i="26"/>
  <c r="N207" i="26"/>
  <c r="O207" i="26"/>
  <c r="P207" i="26"/>
  <c r="R207" i="26"/>
  <c r="S207" i="26"/>
  <c r="T207" i="26"/>
  <c r="V207" i="26"/>
  <c r="W207" i="26"/>
  <c r="X207" i="26"/>
  <c r="Z207" i="26"/>
  <c r="AA207" i="26"/>
  <c r="AB207" i="26"/>
  <c r="F208" i="26"/>
  <c r="G208" i="26"/>
  <c r="H208" i="26"/>
  <c r="J208" i="26"/>
  <c r="K208" i="26"/>
  <c r="L208" i="26"/>
  <c r="N208" i="26"/>
  <c r="O208" i="26"/>
  <c r="P208" i="26"/>
  <c r="R208" i="26"/>
  <c r="S208" i="26"/>
  <c r="T208" i="26"/>
  <c r="V208" i="26"/>
  <c r="W208" i="26"/>
  <c r="X208" i="26"/>
  <c r="Z208" i="26"/>
  <c r="AA208" i="26"/>
  <c r="AB208" i="26"/>
  <c r="F209" i="26"/>
  <c r="G209" i="26"/>
  <c r="H209" i="26"/>
  <c r="J209" i="26"/>
  <c r="K209" i="26"/>
  <c r="L209" i="26"/>
  <c r="N209" i="26"/>
  <c r="O209" i="26"/>
  <c r="P209" i="26"/>
  <c r="R209" i="26"/>
  <c r="S209" i="26"/>
  <c r="T209" i="26"/>
  <c r="V209" i="26"/>
  <c r="W209" i="26"/>
  <c r="X209" i="26"/>
  <c r="Z209" i="26"/>
  <c r="AA209" i="26"/>
  <c r="AB209" i="26"/>
  <c r="F210" i="26"/>
  <c r="G210" i="26"/>
  <c r="H210" i="26"/>
  <c r="J210" i="26"/>
  <c r="K210" i="26"/>
  <c r="L210" i="26"/>
  <c r="N210" i="26"/>
  <c r="O210" i="26"/>
  <c r="P210" i="26"/>
  <c r="R210" i="26"/>
  <c r="S210" i="26"/>
  <c r="T210" i="26"/>
  <c r="V210" i="26"/>
  <c r="W210" i="26"/>
  <c r="X210" i="26"/>
  <c r="Z210" i="26"/>
  <c r="AA210" i="26"/>
  <c r="AB210" i="26"/>
  <c r="F211" i="26"/>
  <c r="G211" i="26"/>
  <c r="H211" i="26"/>
  <c r="J211" i="26"/>
  <c r="K211" i="26"/>
  <c r="L211" i="26"/>
  <c r="N211" i="26"/>
  <c r="O211" i="26"/>
  <c r="P211" i="26"/>
  <c r="R211" i="26"/>
  <c r="S211" i="26"/>
  <c r="T211" i="26"/>
  <c r="V211" i="26"/>
  <c r="W211" i="26"/>
  <c r="X211" i="26"/>
  <c r="Z211" i="26"/>
  <c r="AA211" i="26"/>
  <c r="AB211" i="26"/>
  <c r="F212" i="26"/>
  <c r="G212" i="26"/>
  <c r="H212" i="26"/>
  <c r="J212" i="26"/>
  <c r="K212" i="26"/>
  <c r="L212" i="26"/>
  <c r="N212" i="26"/>
  <c r="O212" i="26"/>
  <c r="P212" i="26"/>
  <c r="R212" i="26"/>
  <c r="S212" i="26"/>
  <c r="T212" i="26"/>
  <c r="V212" i="26"/>
  <c r="W212" i="26"/>
  <c r="X212" i="26"/>
  <c r="Z212" i="26"/>
  <c r="AA212" i="26"/>
  <c r="AB212" i="26"/>
  <c r="G194" i="26"/>
  <c r="H194" i="26"/>
  <c r="H215" i="26" s="1"/>
  <c r="J194" i="26"/>
  <c r="K194" i="26"/>
  <c r="L194" i="26"/>
  <c r="L218" i="26" s="1"/>
  <c r="N194" i="26"/>
  <c r="O194" i="26"/>
  <c r="P194" i="26"/>
  <c r="P215" i="26" s="1"/>
  <c r="R194" i="26"/>
  <c r="S194" i="26"/>
  <c r="T194" i="26"/>
  <c r="T218" i="26" s="1"/>
  <c r="V194" i="26"/>
  <c r="W194" i="26"/>
  <c r="X194" i="26"/>
  <c r="X215" i="26" s="1"/>
  <c r="Z194" i="26"/>
  <c r="AA194" i="26"/>
  <c r="AB194" i="26"/>
  <c r="AB218" i="26" s="1"/>
  <c r="F194" i="26"/>
  <c r="F144" i="26"/>
  <c r="G144" i="26"/>
  <c r="H144" i="26"/>
  <c r="J144" i="26"/>
  <c r="K144" i="26"/>
  <c r="L144" i="26"/>
  <c r="N144" i="26"/>
  <c r="O144" i="26"/>
  <c r="P144" i="26"/>
  <c r="R144" i="26"/>
  <c r="S144" i="26"/>
  <c r="T144" i="26"/>
  <c r="V144" i="26"/>
  <c r="W144" i="26"/>
  <c r="X144" i="26"/>
  <c r="Z144" i="26"/>
  <c r="AA144" i="26"/>
  <c r="AB144" i="26"/>
  <c r="F145" i="26"/>
  <c r="G145" i="26"/>
  <c r="H145" i="26"/>
  <c r="J145" i="26"/>
  <c r="K145" i="26"/>
  <c r="L145" i="26"/>
  <c r="N145" i="26"/>
  <c r="O145" i="26"/>
  <c r="P145" i="26"/>
  <c r="R145" i="26"/>
  <c r="S145" i="26"/>
  <c r="T145" i="26"/>
  <c r="V145" i="26"/>
  <c r="W145" i="26"/>
  <c r="X145" i="26"/>
  <c r="Z145" i="26"/>
  <c r="AA145" i="26"/>
  <c r="AB145" i="26"/>
  <c r="F146" i="26"/>
  <c r="G146" i="26"/>
  <c r="H146" i="26"/>
  <c r="J146" i="26"/>
  <c r="K146" i="26"/>
  <c r="L146" i="26"/>
  <c r="N146" i="26"/>
  <c r="O146" i="26"/>
  <c r="P146" i="26"/>
  <c r="R146" i="26"/>
  <c r="S146" i="26"/>
  <c r="T146" i="26"/>
  <c r="V146" i="26"/>
  <c r="W146" i="26"/>
  <c r="X146" i="26"/>
  <c r="Z146" i="26"/>
  <c r="AA146" i="26"/>
  <c r="AB146" i="26"/>
  <c r="F147" i="26"/>
  <c r="G147" i="26"/>
  <c r="H147" i="26"/>
  <c r="J147" i="26"/>
  <c r="K147" i="26"/>
  <c r="L147" i="26"/>
  <c r="N147" i="26"/>
  <c r="O147" i="26"/>
  <c r="P147" i="26"/>
  <c r="R147" i="26"/>
  <c r="S147" i="26"/>
  <c r="T147" i="26"/>
  <c r="V147" i="26"/>
  <c r="W147" i="26"/>
  <c r="X147" i="26"/>
  <c r="Z147" i="26"/>
  <c r="AA147" i="26"/>
  <c r="AB147" i="26"/>
  <c r="F148" i="26"/>
  <c r="G148" i="26"/>
  <c r="H148" i="26"/>
  <c r="J148" i="26"/>
  <c r="K148" i="26"/>
  <c r="L148" i="26"/>
  <c r="N148" i="26"/>
  <c r="O148" i="26"/>
  <c r="P148" i="26"/>
  <c r="R148" i="26"/>
  <c r="S148" i="26"/>
  <c r="T148" i="26"/>
  <c r="V148" i="26"/>
  <c r="W148" i="26"/>
  <c r="X148" i="26"/>
  <c r="Z148" i="26"/>
  <c r="AA148" i="26"/>
  <c r="AB148" i="26"/>
  <c r="F149" i="26"/>
  <c r="G149" i="26"/>
  <c r="H149" i="26"/>
  <c r="J149" i="26"/>
  <c r="K149" i="26"/>
  <c r="L149" i="26"/>
  <c r="N149" i="26"/>
  <c r="O149" i="26"/>
  <c r="P149" i="26"/>
  <c r="R149" i="26"/>
  <c r="S149" i="26"/>
  <c r="T149" i="26"/>
  <c r="V149" i="26"/>
  <c r="W149" i="26"/>
  <c r="X149" i="26"/>
  <c r="Z149" i="26"/>
  <c r="AA149" i="26"/>
  <c r="AB149" i="26"/>
  <c r="F150" i="26"/>
  <c r="G150" i="26"/>
  <c r="H150" i="26"/>
  <c r="J150" i="26"/>
  <c r="K150" i="26"/>
  <c r="L150" i="26"/>
  <c r="N150" i="26"/>
  <c r="O150" i="26"/>
  <c r="P150" i="26"/>
  <c r="R150" i="26"/>
  <c r="S150" i="26"/>
  <c r="T150" i="26"/>
  <c r="V150" i="26"/>
  <c r="W150" i="26"/>
  <c r="X150" i="26"/>
  <c r="Z150" i="26"/>
  <c r="AA150" i="26"/>
  <c r="AB150" i="26"/>
  <c r="F151" i="26"/>
  <c r="G151" i="26"/>
  <c r="H151" i="26"/>
  <c r="J151" i="26"/>
  <c r="K151" i="26"/>
  <c r="L151" i="26"/>
  <c r="N151" i="26"/>
  <c r="O151" i="26"/>
  <c r="P151" i="26"/>
  <c r="R151" i="26"/>
  <c r="S151" i="26"/>
  <c r="T151" i="26"/>
  <c r="V151" i="26"/>
  <c r="W151" i="26"/>
  <c r="X151" i="26"/>
  <c r="Z151" i="26"/>
  <c r="AA151" i="26"/>
  <c r="AB151" i="26"/>
  <c r="F152" i="26"/>
  <c r="G152" i="26"/>
  <c r="H152" i="26"/>
  <c r="J152" i="26"/>
  <c r="K152" i="26"/>
  <c r="L152" i="26"/>
  <c r="N152" i="26"/>
  <c r="O152" i="26"/>
  <c r="P152" i="26"/>
  <c r="R152" i="26"/>
  <c r="S152" i="26"/>
  <c r="T152" i="26"/>
  <c r="V152" i="26"/>
  <c r="W152" i="26"/>
  <c r="X152" i="26"/>
  <c r="Z152" i="26"/>
  <c r="AA152" i="26"/>
  <c r="AB152" i="26"/>
  <c r="F153" i="26"/>
  <c r="G153" i="26"/>
  <c r="H153" i="26"/>
  <c r="J153" i="26"/>
  <c r="K153" i="26"/>
  <c r="L153" i="26"/>
  <c r="N153" i="26"/>
  <c r="O153" i="26"/>
  <c r="P153" i="26"/>
  <c r="R153" i="26"/>
  <c r="S153" i="26"/>
  <c r="T153" i="26"/>
  <c r="V153" i="26"/>
  <c r="W153" i="26"/>
  <c r="X153" i="26"/>
  <c r="Z153" i="26"/>
  <c r="AA153" i="26"/>
  <c r="AB153" i="26"/>
  <c r="F154" i="26"/>
  <c r="G154" i="26"/>
  <c r="H154" i="26"/>
  <c r="J154" i="26"/>
  <c r="K154" i="26"/>
  <c r="L154" i="26"/>
  <c r="N154" i="26"/>
  <c r="O154" i="26"/>
  <c r="P154" i="26"/>
  <c r="R154" i="26"/>
  <c r="S154" i="26"/>
  <c r="T154" i="26"/>
  <c r="V154" i="26"/>
  <c r="W154" i="26"/>
  <c r="X154" i="26"/>
  <c r="Z154" i="26"/>
  <c r="AA154" i="26"/>
  <c r="AB154" i="26"/>
  <c r="F155" i="26"/>
  <c r="G155" i="26"/>
  <c r="H155" i="26"/>
  <c r="J155" i="26"/>
  <c r="K155" i="26"/>
  <c r="L155" i="26"/>
  <c r="N155" i="26"/>
  <c r="O155" i="26"/>
  <c r="P155" i="26"/>
  <c r="R155" i="26"/>
  <c r="S155" i="26"/>
  <c r="T155" i="26"/>
  <c r="V155" i="26"/>
  <c r="W155" i="26"/>
  <c r="X155" i="26"/>
  <c r="Z155" i="26"/>
  <c r="AA155" i="26"/>
  <c r="AB155" i="26"/>
  <c r="F156" i="26"/>
  <c r="G156" i="26"/>
  <c r="H156" i="26"/>
  <c r="J156" i="26"/>
  <c r="K156" i="26"/>
  <c r="L156" i="26"/>
  <c r="N156" i="26"/>
  <c r="O156" i="26"/>
  <c r="P156" i="26"/>
  <c r="R156" i="26"/>
  <c r="S156" i="26"/>
  <c r="T156" i="26"/>
  <c r="V156" i="26"/>
  <c r="W156" i="26"/>
  <c r="X156" i="26"/>
  <c r="Z156" i="26"/>
  <c r="AA156" i="26"/>
  <c r="AB156" i="26"/>
  <c r="F157" i="26"/>
  <c r="G157" i="26"/>
  <c r="H157" i="26"/>
  <c r="J157" i="26"/>
  <c r="K157" i="26"/>
  <c r="L157" i="26"/>
  <c r="N157" i="26"/>
  <c r="O157" i="26"/>
  <c r="P157" i="26"/>
  <c r="R157" i="26"/>
  <c r="S157" i="26"/>
  <c r="T157" i="26"/>
  <c r="V157" i="26"/>
  <c r="W157" i="26"/>
  <c r="X157" i="26"/>
  <c r="Z157" i="26"/>
  <c r="AA157" i="26"/>
  <c r="AB157" i="26"/>
  <c r="F158" i="26"/>
  <c r="G158" i="26"/>
  <c r="H158" i="26"/>
  <c r="J158" i="26"/>
  <c r="K158" i="26"/>
  <c r="L158" i="26"/>
  <c r="N158" i="26"/>
  <c r="O158" i="26"/>
  <c r="P158" i="26"/>
  <c r="R158" i="26"/>
  <c r="S158" i="26"/>
  <c r="T158" i="26"/>
  <c r="V158" i="26"/>
  <c r="W158" i="26"/>
  <c r="X158" i="26"/>
  <c r="Z158" i="26"/>
  <c r="AA158" i="26"/>
  <c r="AB158" i="26"/>
  <c r="F159" i="26"/>
  <c r="G159" i="26"/>
  <c r="H159" i="26"/>
  <c r="J159" i="26"/>
  <c r="K159" i="26"/>
  <c r="L159" i="26"/>
  <c r="N159" i="26"/>
  <c r="O159" i="26"/>
  <c r="P159" i="26"/>
  <c r="R159" i="26"/>
  <c r="S159" i="26"/>
  <c r="T159" i="26"/>
  <c r="V159" i="26"/>
  <c r="W159" i="26"/>
  <c r="X159" i="26"/>
  <c r="Z159" i="26"/>
  <c r="AA159" i="26"/>
  <c r="AB159" i="26"/>
  <c r="F160" i="26"/>
  <c r="G160" i="26"/>
  <c r="H160" i="26"/>
  <c r="J160" i="26"/>
  <c r="K160" i="26"/>
  <c r="L160" i="26"/>
  <c r="N160" i="26"/>
  <c r="O160" i="26"/>
  <c r="P160" i="26"/>
  <c r="R160" i="26"/>
  <c r="S160" i="26"/>
  <c r="T160" i="26"/>
  <c r="V160" i="26"/>
  <c r="W160" i="26"/>
  <c r="X160" i="26"/>
  <c r="Z160" i="26"/>
  <c r="AA160" i="26"/>
  <c r="AB160" i="26"/>
  <c r="F161" i="26"/>
  <c r="G161" i="26"/>
  <c r="H161" i="26"/>
  <c r="J161" i="26"/>
  <c r="K161" i="26"/>
  <c r="L161" i="26"/>
  <c r="N161" i="26"/>
  <c r="O161" i="26"/>
  <c r="P161" i="26"/>
  <c r="R161" i="26"/>
  <c r="S161" i="26"/>
  <c r="T161" i="26"/>
  <c r="V161" i="26"/>
  <c r="W161" i="26"/>
  <c r="X161" i="26"/>
  <c r="Z161" i="26"/>
  <c r="AA161" i="26"/>
  <c r="AB161" i="26"/>
  <c r="F162" i="26"/>
  <c r="G162" i="26"/>
  <c r="H162" i="26"/>
  <c r="J162" i="26"/>
  <c r="K162" i="26"/>
  <c r="L162" i="26"/>
  <c r="N162" i="26"/>
  <c r="O162" i="26"/>
  <c r="P162" i="26"/>
  <c r="R162" i="26"/>
  <c r="S162" i="26"/>
  <c r="T162" i="26"/>
  <c r="V162" i="26"/>
  <c r="W162" i="26"/>
  <c r="X162" i="26"/>
  <c r="Z162" i="26"/>
  <c r="AA162" i="26"/>
  <c r="AB162" i="26"/>
  <c r="F163" i="26"/>
  <c r="G163" i="26"/>
  <c r="H163" i="26"/>
  <c r="J163" i="26"/>
  <c r="K163" i="26"/>
  <c r="L163" i="26"/>
  <c r="N163" i="26"/>
  <c r="O163" i="26"/>
  <c r="P163" i="26"/>
  <c r="R163" i="26"/>
  <c r="S163" i="26"/>
  <c r="T163" i="26"/>
  <c r="V163" i="26"/>
  <c r="W163" i="26"/>
  <c r="X163" i="26"/>
  <c r="Z163" i="26"/>
  <c r="AA163" i="26"/>
  <c r="AB163" i="26"/>
  <c r="F164" i="26"/>
  <c r="G164" i="26"/>
  <c r="H164" i="26"/>
  <c r="J164" i="26"/>
  <c r="K164" i="26"/>
  <c r="L164" i="26"/>
  <c r="N164" i="26"/>
  <c r="O164" i="26"/>
  <c r="P164" i="26"/>
  <c r="R164" i="26"/>
  <c r="S164" i="26"/>
  <c r="T164" i="26"/>
  <c r="V164" i="26"/>
  <c r="W164" i="26"/>
  <c r="X164" i="26"/>
  <c r="Z164" i="26"/>
  <c r="AA164" i="26"/>
  <c r="AB164" i="26"/>
  <c r="F165" i="26"/>
  <c r="G165" i="26"/>
  <c r="H165" i="26"/>
  <c r="J165" i="26"/>
  <c r="K165" i="26"/>
  <c r="L165" i="26"/>
  <c r="N165" i="26"/>
  <c r="O165" i="26"/>
  <c r="P165" i="26"/>
  <c r="R165" i="26"/>
  <c r="S165" i="26"/>
  <c r="T165" i="26"/>
  <c r="V165" i="26"/>
  <c r="W165" i="26"/>
  <c r="X165" i="26"/>
  <c r="Z165" i="26"/>
  <c r="AA165" i="26"/>
  <c r="AB165" i="26"/>
  <c r="F166" i="26"/>
  <c r="G166" i="26"/>
  <c r="H166" i="26"/>
  <c r="J166" i="26"/>
  <c r="K166" i="26"/>
  <c r="L166" i="26"/>
  <c r="N166" i="26"/>
  <c r="O166" i="26"/>
  <c r="P166" i="26"/>
  <c r="R166" i="26"/>
  <c r="S166" i="26"/>
  <c r="T166" i="26"/>
  <c r="V166" i="26"/>
  <c r="W166" i="26"/>
  <c r="X166" i="26"/>
  <c r="Z166" i="26"/>
  <c r="AA166" i="26"/>
  <c r="AB166" i="26"/>
  <c r="F167" i="26"/>
  <c r="G167" i="26"/>
  <c r="H167" i="26"/>
  <c r="J167" i="26"/>
  <c r="K167" i="26"/>
  <c r="L167" i="26"/>
  <c r="N167" i="26"/>
  <c r="O167" i="26"/>
  <c r="P167" i="26"/>
  <c r="R167" i="26"/>
  <c r="S167" i="26"/>
  <c r="T167" i="26"/>
  <c r="V167" i="26"/>
  <c r="W167" i="26"/>
  <c r="X167" i="26"/>
  <c r="Z167" i="26"/>
  <c r="AA167" i="26"/>
  <c r="AB167" i="26"/>
  <c r="F168" i="26"/>
  <c r="G168" i="26"/>
  <c r="H168" i="26"/>
  <c r="J168" i="26"/>
  <c r="K168" i="26"/>
  <c r="L168" i="26"/>
  <c r="N168" i="26"/>
  <c r="O168" i="26"/>
  <c r="P168" i="26"/>
  <c r="R168" i="26"/>
  <c r="S168" i="26"/>
  <c r="T168" i="26"/>
  <c r="V168" i="26"/>
  <c r="W168" i="26"/>
  <c r="X168" i="26"/>
  <c r="Z168" i="26"/>
  <c r="AA168" i="26"/>
  <c r="AB168" i="26"/>
  <c r="F169" i="26"/>
  <c r="G169" i="26"/>
  <c r="H169" i="26"/>
  <c r="J169" i="26"/>
  <c r="K169" i="26"/>
  <c r="L169" i="26"/>
  <c r="N169" i="26"/>
  <c r="O169" i="26"/>
  <c r="P169" i="26"/>
  <c r="R169" i="26"/>
  <c r="S169" i="26"/>
  <c r="T169" i="26"/>
  <c r="V169" i="26"/>
  <c r="W169" i="26"/>
  <c r="X169" i="26"/>
  <c r="Z169" i="26"/>
  <c r="AA169" i="26"/>
  <c r="AB169" i="26"/>
  <c r="F170" i="26"/>
  <c r="G170" i="26"/>
  <c r="H170" i="26"/>
  <c r="J170" i="26"/>
  <c r="K170" i="26"/>
  <c r="L170" i="26"/>
  <c r="N170" i="26"/>
  <c r="O170" i="26"/>
  <c r="P170" i="26"/>
  <c r="R170" i="26"/>
  <c r="S170" i="26"/>
  <c r="T170" i="26"/>
  <c r="V170" i="26"/>
  <c r="W170" i="26"/>
  <c r="X170" i="26"/>
  <c r="Z170" i="26"/>
  <c r="AA170" i="26"/>
  <c r="AB170" i="26"/>
  <c r="F171" i="26"/>
  <c r="G171" i="26"/>
  <c r="H171" i="26"/>
  <c r="J171" i="26"/>
  <c r="K171" i="26"/>
  <c r="L171" i="26"/>
  <c r="N171" i="26"/>
  <c r="O171" i="26"/>
  <c r="P171" i="26"/>
  <c r="R171" i="26"/>
  <c r="S171" i="26"/>
  <c r="T171" i="26"/>
  <c r="V171" i="26"/>
  <c r="W171" i="26"/>
  <c r="X171" i="26"/>
  <c r="Z171" i="26"/>
  <c r="AA171" i="26"/>
  <c r="AB171" i="26"/>
  <c r="F173" i="26"/>
  <c r="G173" i="26"/>
  <c r="H173" i="26"/>
  <c r="J173" i="26"/>
  <c r="K173" i="26"/>
  <c r="L173" i="26"/>
  <c r="N173" i="26"/>
  <c r="O173" i="26"/>
  <c r="P173" i="26"/>
  <c r="R173" i="26"/>
  <c r="S173" i="26"/>
  <c r="T173" i="26"/>
  <c r="V173" i="26"/>
  <c r="W173" i="26"/>
  <c r="X173" i="26"/>
  <c r="Z173" i="26"/>
  <c r="AA173" i="26"/>
  <c r="AB173" i="26"/>
  <c r="F174" i="26"/>
  <c r="G174" i="26"/>
  <c r="H174" i="26"/>
  <c r="J174" i="26"/>
  <c r="K174" i="26"/>
  <c r="L174" i="26"/>
  <c r="N174" i="26"/>
  <c r="O174" i="26"/>
  <c r="P174" i="26"/>
  <c r="R174" i="26"/>
  <c r="S174" i="26"/>
  <c r="T174" i="26"/>
  <c r="V174" i="26"/>
  <c r="W174" i="26"/>
  <c r="X174" i="26"/>
  <c r="Z174" i="26"/>
  <c r="AA174" i="26"/>
  <c r="AB174" i="26"/>
  <c r="F175" i="26"/>
  <c r="G175" i="26"/>
  <c r="H175" i="26"/>
  <c r="J175" i="26"/>
  <c r="K175" i="26"/>
  <c r="L175" i="26"/>
  <c r="N175" i="26"/>
  <c r="O175" i="26"/>
  <c r="P175" i="26"/>
  <c r="R175" i="26"/>
  <c r="S175" i="26"/>
  <c r="T175" i="26"/>
  <c r="V175" i="26"/>
  <c r="W175" i="26"/>
  <c r="X175" i="26"/>
  <c r="Z175" i="26"/>
  <c r="AA175" i="26"/>
  <c r="AB175" i="26"/>
  <c r="F176" i="26"/>
  <c r="G176" i="26"/>
  <c r="H176" i="26"/>
  <c r="J176" i="26"/>
  <c r="K176" i="26"/>
  <c r="L176" i="26"/>
  <c r="N176" i="26"/>
  <c r="O176" i="26"/>
  <c r="P176" i="26"/>
  <c r="R176" i="26"/>
  <c r="S176" i="26"/>
  <c r="T176" i="26"/>
  <c r="V176" i="26"/>
  <c r="W176" i="26"/>
  <c r="X176" i="26"/>
  <c r="Z176" i="26"/>
  <c r="AA176" i="26"/>
  <c r="AB176" i="26"/>
  <c r="F177" i="26"/>
  <c r="G177" i="26"/>
  <c r="H177" i="26"/>
  <c r="J177" i="26"/>
  <c r="K177" i="26"/>
  <c r="L177" i="26"/>
  <c r="N177" i="26"/>
  <c r="O177" i="26"/>
  <c r="P177" i="26"/>
  <c r="R177" i="26"/>
  <c r="S177" i="26"/>
  <c r="T177" i="26"/>
  <c r="V177" i="26"/>
  <c r="W177" i="26"/>
  <c r="X177" i="26"/>
  <c r="Z177" i="26"/>
  <c r="AA177" i="26"/>
  <c r="AB177" i="26"/>
  <c r="F178" i="26"/>
  <c r="G178" i="26"/>
  <c r="H178" i="26"/>
  <c r="J178" i="26"/>
  <c r="K178" i="26"/>
  <c r="L178" i="26"/>
  <c r="N178" i="26"/>
  <c r="O178" i="26"/>
  <c r="P178" i="26"/>
  <c r="R178" i="26"/>
  <c r="S178" i="26"/>
  <c r="T178" i="26"/>
  <c r="V178" i="26"/>
  <c r="W178" i="26"/>
  <c r="X178" i="26"/>
  <c r="Z178" i="26"/>
  <c r="AA178" i="26"/>
  <c r="AB178" i="26"/>
  <c r="F179" i="26"/>
  <c r="G179" i="26"/>
  <c r="H179" i="26"/>
  <c r="J179" i="26"/>
  <c r="K179" i="26"/>
  <c r="L179" i="26"/>
  <c r="N179" i="26"/>
  <c r="O179" i="26"/>
  <c r="P179" i="26"/>
  <c r="R179" i="26"/>
  <c r="S179" i="26"/>
  <c r="T179" i="26"/>
  <c r="V179" i="26"/>
  <c r="W179" i="26"/>
  <c r="X179" i="26"/>
  <c r="Z179" i="26"/>
  <c r="AA179" i="26"/>
  <c r="AB179" i="26"/>
  <c r="F180" i="26"/>
  <c r="G180" i="26"/>
  <c r="H180" i="26"/>
  <c r="J180" i="26"/>
  <c r="K180" i="26"/>
  <c r="L180" i="26"/>
  <c r="N180" i="26"/>
  <c r="O180" i="26"/>
  <c r="P180" i="26"/>
  <c r="R180" i="26"/>
  <c r="S180" i="26"/>
  <c r="T180" i="26"/>
  <c r="V180" i="26"/>
  <c r="W180" i="26"/>
  <c r="X180" i="26"/>
  <c r="Z180" i="26"/>
  <c r="AA180" i="26"/>
  <c r="AB180" i="26"/>
  <c r="F181" i="26"/>
  <c r="G181" i="26"/>
  <c r="H181" i="26"/>
  <c r="J181" i="26"/>
  <c r="K181" i="26"/>
  <c r="L181" i="26"/>
  <c r="N181" i="26"/>
  <c r="O181" i="26"/>
  <c r="P181" i="26"/>
  <c r="R181" i="26"/>
  <c r="S181" i="26"/>
  <c r="T181" i="26"/>
  <c r="V181" i="26"/>
  <c r="W181" i="26"/>
  <c r="X181" i="26"/>
  <c r="Z181" i="26"/>
  <c r="AA181" i="26"/>
  <c r="AB181" i="26"/>
  <c r="F182" i="26"/>
  <c r="G182" i="26"/>
  <c r="H182" i="26"/>
  <c r="J182" i="26"/>
  <c r="K182" i="26"/>
  <c r="L182" i="26"/>
  <c r="N182" i="26"/>
  <c r="O182" i="26"/>
  <c r="P182" i="26"/>
  <c r="R182" i="26"/>
  <c r="S182" i="26"/>
  <c r="T182" i="26"/>
  <c r="V182" i="26"/>
  <c r="W182" i="26"/>
  <c r="X182" i="26"/>
  <c r="Z182" i="26"/>
  <c r="AA182" i="26"/>
  <c r="AB182" i="26"/>
  <c r="F183" i="26"/>
  <c r="G183" i="26"/>
  <c r="H183" i="26"/>
  <c r="J183" i="26"/>
  <c r="K183" i="26"/>
  <c r="L183" i="26"/>
  <c r="N183" i="26"/>
  <c r="O183" i="26"/>
  <c r="P183" i="26"/>
  <c r="R183" i="26"/>
  <c r="S183" i="26"/>
  <c r="T183" i="26"/>
  <c r="V183" i="26"/>
  <c r="W183" i="26"/>
  <c r="X183" i="26"/>
  <c r="Z183" i="26"/>
  <c r="AA183" i="26"/>
  <c r="AB183" i="26"/>
  <c r="G143" i="26"/>
  <c r="H143" i="26"/>
  <c r="J143" i="26"/>
  <c r="K143" i="26"/>
  <c r="L143" i="26"/>
  <c r="N143" i="26"/>
  <c r="O143" i="26"/>
  <c r="P143" i="26"/>
  <c r="R143" i="26"/>
  <c r="S143" i="26"/>
  <c r="T143" i="26"/>
  <c r="V143" i="26"/>
  <c r="W143" i="26"/>
  <c r="X143" i="26"/>
  <c r="Z143" i="26"/>
  <c r="AA143" i="26"/>
  <c r="AB143" i="26"/>
  <c r="F143" i="26"/>
  <c r="G136" i="26"/>
  <c r="H136" i="26"/>
  <c r="J136" i="26"/>
  <c r="K136" i="26"/>
  <c r="L136" i="26"/>
  <c r="N136" i="26"/>
  <c r="O136" i="26"/>
  <c r="P136" i="26"/>
  <c r="R136" i="26"/>
  <c r="S136" i="26"/>
  <c r="T136" i="26"/>
  <c r="V136" i="26"/>
  <c r="W136" i="26"/>
  <c r="X136" i="26"/>
  <c r="Z136" i="26"/>
  <c r="AA136" i="26"/>
  <c r="AB136" i="26"/>
  <c r="G137" i="26"/>
  <c r="H137" i="26"/>
  <c r="J137" i="26"/>
  <c r="K137" i="26"/>
  <c r="L137" i="26"/>
  <c r="N137" i="26"/>
  <c r="O137" i="26"/>
  <c r="P137" i="26"/>
  <c r="R137" i="26"/>
  <c r="S137" i="26"/>
  <c r="T137" i="26"/>
  <c r="V137" i="26"/>
  <c r="W137" i="26"/>
  <c r="X137" i="26"/>
  <c r="Z137" i="26"/>
  <c r="AA137" i="26"/>
  <c r="AB137" i="26"/>
  <c r="G138" i="26"/>
  <c r="H138" i="26"/>
  <c r="J138" i="26"/>
  <c r="K138" i="26"/>
  <c r="L138" i="26"/>
  <c r="N138" i="26"/>
  <c r="O138" i="26"/>
  <c r="P138" i="26"/>
  <c r="R138" i="26"/>
  <c r="S138" i="26"/>
  <c r="T138" i="26"/>
  <c r="V138" i="26"/>
  <c r="W138" i="26"/>
  <c r="X138" i="26"/>
  <c r="Z138" i="26"/>
  <c r="AA138" i="26"/>
  <c r="AB138" i="26"/>
  <c r="G139" i="26"/>
  <c r="H139" i="26"/>
  <c r="J139" i="26"/>
  <c r="K139" i="26"/>
  <c r="L139" i="26"/>
  <c r="N139" i="26"/>
  <c r="O139" i="26"/>
  <c r="P139" i="26"/>
  <c r="R139" i="26"/>
  <c r="S139" i="26"/>
  <c r="T139" i="26"/>
  <c r="V139" i="26"/>
  <c r="W139" i="26"/>
  <c r="X139" i="26"/>
  <c r="Z139" i="26"/>
  <c r="AA139" i="26"/>
  <c r="AB139" i="26"/>
  <c r="F139" i="26"/>
  <c r="F138" i="26"/>
  <c r="F137" i="26"/>
  <c r="F136" i="26"/>
  <c r="G135" i="26"/>
  <c r="H135" i="26"/>
  <c r="J135" i="26"/>
  <c r="K135" i="26"/>
  <c r="L135" i="26"/>
  <c r="N135" i="26"/>
  <c r="O135" i="26"/>
  <c r="P135" i="26"/>
  <c r="R135" i="26"/>
  <c r="S135" i="26"/>
  <c r="T135" i="26"/>
  <c r="V135" i="26"/>
  <c r="W135" i="26"/>
  <c r="X135" i="26"/>
  <c r="Z135" i="26"/>
  <c r="AA135" i="26"/>
  <c r="AB135" i="26"/>
  <c r="F135" i="26"/>
  <c r="G134" i="26"/>
  <c r="H134" i="26"/>
  <c r="J134" i="26"/>
  <c r="K134" i="26"/>
  <c r="L134" i="26"/>
  <c r="N134" i="26"/>
  <c r="O134" i="26"/>
  <c r="P134" i="26"/>
  <c r="R134" i="26"/>
  <c r="S134" i="26"/>
  <c r="T134" i="26"/>
  <c r="V134" i="26"/>
  <c r="W134" i="26"/>
  <c r="X134" i="26"/>
  <c r="Z134" i="26"/>
  <c r="AA134" i="26"/>
  <c r="AB134" i="26"/>
  <c r="F134" i="26"/>
  <c r="E288" i="26"/>
  <c r="D288" i="26"/>
  <c r="C288" i="26"/>
  <c r="B288" i="26"/>
  <c r="E287" i="26"/>
  <c r="D287" i="26"/>
  <c r="C287" i="26"/>
  <c r="B287" i="26"/>
  <c r="E286" i="26"/>
  <c r="D286" i="26"/>
  <c r="C286" i="26"/>
  <c r="B286" i="26"/>
  <c r="E285" i="26"/>
  <c r="D285" i="26"/>
  <c r="C285" i="26"/>
  <c r="B285" i="26"/>
  <c r="E284" i="26"/>
  <c r="D284" i="26"/>
  <c r="C284" i="26"/>
  <c r="B284" i="26"/>
  <c r="E283" i="26"/>
  <c r="D283" i="26"/>
  <c r="C283" i="26"/>
  <c r="B283" i="26"/>
  <c r="E282" i="26"/>
  <c r="D282" i="26"/>
  <c r="C282" i="26"/>
  <c r="B282" i="26"/>
  <c r="E281" i="26"/>
  <c r="D281" i="26"/>
  <c r="C281" i="26"/>
  <c r="B281" i="26"/>
  <c r="E280" i="26"/>
  <c r="D280" i="26"/>
  <c r="C280" i="26"/>
  <c r="B280" i="26"/>
  <c r="E279" i="26"/>
  <c r="D279" i="26"/>
  <c r="C279" i="26"/>
  <c r="B279" i="26"/>
  <c r="E278" i="26"/>
  <c r="D278" i="26"/>
  <c r="C278" i="26"/>
  <c r="B278" i="26"/>
  <c r="E277" i="26"/>
  <c r="D277" i="26"/>
  <c r="C277" i="26"/>
  <c r="B277" i="26"/>
  <c r="E276" i="26"/>
  <c r="D276" i="26"/>
  <c r="C276" i="26"/>
  <c r="B276" i="26"/>
  <c r="E275" i="26"/>
  <c r="D275" i="26"/>
  <c r="C275" i="26"/>
  <c r="B275" i="26"/>
  <c r="E274" i="26"/>
  <c r="D274" i="26"/>
  <c r="C274" i="26"/>
  <c r="B274" i="26"/>
  <c r="E273" i="26"/>
  <c r="D273" i="26"/>
  <c r="C273" i="26"/>
  <c r="B273" i="26"/>
  <c r="E272" i="26"/>
  <c r="D272" i="26"/>
  <c r="C272" i="26"/>
  <c r="B272" i="26"/>
  <c r="E271" i="26"/>
  <c r="D271" i="26"/>
  <c r="C271" i="26"/>
  <c r="B271" i="26"/>
  <c r="E270" i="26"/>
  <c r="D270" i="26"/>
  <c r="C270" i="26"/>
  <c r="B270" i="26"/>
  <c r="E269" i="26"/>
  <c r="D269" i="26"/>
  <c r="C269" i="26"/>
  <c r="B269" i="26"/>
  <c r="E268" i="26"/>
  <c r="D268" i="26"/>
  <c r="C268" i="26"/>
  <c r="B268" i="26"/>
  <c r="E267" i="26"/>
  <c r="D267" i="26"/>
  <c r="C267" i="26"/>
  <c r="B267" i="26"/>
  <c r="E266" i="26"/>
  <c r="D266" i="26"/>
  <c r="C266" i="26"/>
  <c r="B266" i="26"/>
  <c r="E265" i="26"/>
  <c r="D265" i="26"/>
  <c r="C265" i="26"/>
  <c r="B265" i="26"/>
  <c r="E264" i="26"/>
  <c r="D264" i="26"/>
  <c r="C264" i="26"/>
  <c r="B264" i="26"/>
  <c r="E263" i="26"/>
  <c r="D263" i="26"/>
  <c r="C263" i="26"/>
  <c r="B263" i="26"/>
  <c r="E262" i="26"/>
  <c r="D262" i="26"/>
  <c r="C262" i="26"/>
  <c r="B262" i="26"/>
  <c r="E261" i="26"/>
  <c r="D261" i="26"/>
  <c r="C261" i="26"/>
  <c r="B261" i="26"/>
  <c r="E260" i="26"/>
  <c r="D260" i="26"/>
  <c r="C260" i="26"/>
  <c r="B260" i="26"/>
  <c r="E259" i="26"/>
  <c r="D259" i="26"/>
  <c r="C259" i="26"/>
  <c r="B259" i="26"/>
  <c r="E258" i="26"/>
  <c r="D258" i="26"/>
  <c r="C258" i="26"/>
  <c r="B258" i="26"/>
  <c r="E257" i="26"/>
  <c r="D257" i="26"/>
  <c r="C257" i="26"/>
  <c r="B257" i="26"/>
  <c r="E256" i="26"/>
  <c r="D256" i="26"/>
  <c r="C256" i="26"/>
  <c r="B256" i="26"/>
  <c r="E255" i="26"/>
  <c r="D255" i="26"/>
  <c r="C255" i="26"/>
  <c r="B255" i="26"/>
  <c r="E254" i="26"/>
  <c r="D254" i="26"/>
  <c r="C254" i="26"/>
  <c r="B254" i="26"/>
  <c r="E253" i="26"/>
  <c r="D253" i="26"/>
  <c r="C253" i="26"/>
  <c r="B253" i="26"/>
  <c r="E252" i="26"/>
  <c r="D252" i="26"/>
  <c r="C252" i="26"/>
  <c r="B252" i="26"/>
  <c r="E251" i="26"/>
  <c r="D251" i="26"/>
  <c r="C251" i="26"/>
  <c r="B251" i="26"/>
  <c r="E250" i="26"/>
  <c r="D250" i="26"/>
  <c r="C250" i="26"/>
  <c r="B250" i="26"/>
  <c r="E249" i="26"/>
  <c r="D249" i="26"/>
  <c r="C249" i="26"/>
  <c r="B249" i="26"/>
  <c r="E248" i="26"/>
  <c r="D248" i="26"/>
  <c r="C248" i="26"/>
  <c r="B248" i="26"/>
  <c r="E247" i="26"/>
  <c r="D247" i="26"/>
  <c r="C247" i="26"/>
  <c r="B247" i="26"/>
  <c r="E246" i="26"/>
  <c r="D246" i="26"/>
  <c r="C246" i="26"/>
  <c r="B246" i="26"/>
  <c r="E245" i="26"/>
  <c r="D245" i="26"/>
  <c r="C245" i="26"/>
  <c r="B245" i="26"/>
  <c r="E244" i="26"/>
  <c r="D244" i="26"/>
  <c r="C244" i="26"/>
  <c r="B244" i="26"/>
  <c r="E243" i="26"/>
  <c r="D243" i="26"/>
  <c r="C243" i="26"/>
  <c r="B243" i="26"/>
  <c r="E242" i="26"/>
  <c r="D242" i="26"/>
  <c r="C242" i="26"/>
  <c r="B242" i="26"/>
  <c r="E241" i="26"/>
  <c r="D241" i="26"/>
  <c r="C241" i="26"/>
  <c r="B241" i="26"/>
  <c r="E240" i="26"/>
  <c r="D240" i="26"/>
  <c r="C240" i="26"/>
  <c r="B240" i="26"/>
  <c r="E239" i="26"/>
  <c r="D239" i="26"/>
  <c r="C239" i="26"/>
  <c r="B239" i="26"/>
  <c r="E238" i="26"/>
  <c r="D238" i="26"/>
  <c r="C238" i="26"/>
  <c r="B238" i="26"/>
  <c r="E237" i="26"/>
  <c r="D237" i="26"/>
  <c r="C237" i="26"/>
  <c r="B237" i="26"/>
  <c r="E236" i="26"/>
  <c r="D236" i="26"/>
  <c r="C236" i="26"/>
  <c r="B236" i="26"/>
  <c r="E235" i="26"/>
  <c r="D235" i="26"/>
  <c r="C235" i="26"/>
  <c r="B235" i="26"/>
  <c r="E234" i="26"/>
  <c r="D234" i="26"/>
  <c r="C234" i="26"/>
  <c r="B234" i="26"/>
  <c r="E233" i="26"/>
  <c r="D233" i="26"/>
  <c r="C233" i="26"/>
  <c r="B233" i="26"/>
  <c r="E232" i="26"/>
  <c r="D232" i="26"/>
  <c r="C232" i="26"/>
  <c r="B232" i="26"/>
  <c r="E231" i="26"/>
  <c r="D231" i="26"/>
  <c r="C231" i="26"/>
  <c r="B231" i="26"/>
  <c r="E230" i="26"/>
  <c r="D230" i="26"/>
  <c r="C230" i="26"/>
  <c r="B230" i="26"/>
  <c r="E229" i="26"/>
  <c r="D229" i="26"/>
  <c r="C229" i="26"/>
  <c r="B229" i="26"/>
  <c r="E228" i="26"/>
  <c r="D228" i="26"/>
  <c r="C228" i="26"/>
  <c r="B228" i="26"/>
  <c r="E227" i="26"/>
  <c r="D227" i="26"/>
  <c r="C227" i="26"/>
  <c r="B227" i="26"/>
  <c r="E226" i="26"/>
  <c r="D226" i="26"/>
  <c r="C226" i="26"/>
  <c r="B226" i="26"/>
  <c r="E225" i="26"/>
  <c r="D225" i="26"/>
  <c r="C225" i="26"/>
  <c r="B225" i="26"/>
  <c r="E224" i="26"/>
  <c r="D224" i="26"/>
  <c r="C224" i="26"/>
  <c r="B224" i="26"/>
  <c r="E212" i="26"/>
  <c r="D212" i="26"/>
  <c r="C212" i="26"/>
  <c r="B212" i="26"/>
  <c r="E211" i="26"/>
  <c r="D211" i="26"/>
  <c r="C211" i="26"/>
  <c r="B211" i="26"/>
  <c r="E210" i="26"/>
  <c r="D210" i="26"/>
  <c r="C210" i="26"/>
  <c r="B210" i="26"/>
  <c r="E209" i="26"/>
  <c r="D209" i="26"/>
  <c r="C209" i="26"/>
  <c r="B209" i="26"/>
  <c r="E208" i="26"/>
  <c r="D208" i="26"/>
  <c r="C208" i="26"/>
  <c r="B208" i="26"/>
  <c r="E207" i="26"/>
  <c r="D207" i="26"/>
  <c r="C207" i="26"/>
  <c r="B207" i="26"/>
  <c r="E206" i="26"/>
  <c r="D206" i="26"/>
  <c r="C206" i="26"/>
  <c r="B206" i="26"/>
  <c r="E205" i="26"/>
  <c r="D205" i="26"/>
  <c r="C205" i="26"/>
  <c r="B205" i="26"/>
  <c r="E204" i="26"/>
  <c r="D204" i="26"/>
  <c r="C204" i="26"/>
  <c r="B204" i="26"/>
  <c r="E203" i="26"/>
  <c r="D203" i="26"/>
  <c r="C203" i="26"/>
  <c r="B203" i="26"/>
  <c r="E202" i="26"/>
  <c r="D202" i="26"/>
  <c r="C202" i="26"/>
  <c r="B202" i="26"/>
  <c r="E201" i="26"/>
  <c r="D201" i="26"/>
  <c r="C201" i="26"/>
  <c r="B201" i="26"/>
  <c r="E200" i="26"/>
  <c r="D200" i="26"/>
  <c r="C200" i="26"/>
  <c r="B200" i="26"/>
  <c r="E199" i="26"/>
  <c r="D199" i="26"/>
  <c r="C199" i="26"/>
  <c r="B199" i="26"/>
  <c r="E198" i="26"/>
  <c r="D198" i="26"/>
  <c r="C198" i="26"/>
  <c r="B198" i="26"/>
  <c r="E197" i="26"/>
  <c r="D197" i="26"/>
  <c r="C197" i="26"/>
  <c r="B197" i="26"/>
  <c r="E196" i="26"/>
  <c r="D196" i="26"/>
  <c r="C196" i="26"/>
  <c r="B196" i="26"/>
  <c r="E195" i="26"/>
  <c r="D195" i="26"/>
  <c r="C195" i="26"/>
  <c r="B195" i="26"/>
  <c r="E194" i="26"/>
  <c r="D194" i="26"/>
  <c r="C194" i="26"/>
  <c r="B194" i="26"/>
  <c r="D184" i="26"/>
  <c r="C184" i="26"/>
  <c r="B184" i="26"/>
  <c r="D183" i="26"/>
  <c r="C183" i="26"/>
  <c r="B183" i="26"/>
  <c r="D182" i="26"/>
  <c r="C182" i="26"/>
  <c r="B182" i="26"/>
  <c r="D181" i="26"/>
  <c r="C181" i="26"/>
  <c r="B181" i="26"/>
  <c r="D180" i="26"/>
  <c r="C180" i="26"/>
  <c r="B180" i="26"/>
  <c r="D179" i="26"/>
  <c r="C179" i="26"/>
  <c r="B179" i="26"/>
  <c r="D178" i="26"/>
  <c r="C178" i="26"/>
  <c r="B178" i="26"/>
  <c r="D177" i="26"/>
  <c r="C177" i="26"/>
  <c r="B177" i="26"/>
  <c r="D176" i="26"/>
  <c r="C176" i="26"/>
  <c r="B176" i="26"/>
  <c r="D175" i="26"/>
  <c r="C175" i="26"/>
  <c r="B175" i="26"/>
  <c r="D174" i="26"/>
  <c r="C174" i="26"/>
  <c r="B174" i="26"/>
  <c r="D173" i="26"/>
  <c r="C173" i="26"/>
  <c r="B173" i="26"/>
  <c r="D172" i="26"/>
  <c r="C172" i="26"/>
  <c r="B172" i="26"/>
  <c r="D171" i="26"/>
  <c r="C171" i="26"/>
  <c r="B171" i="26"/>
  <c r="D170" i="26"/>
  <c r="C170" i="26"/>
  <c r="B170" i="26"/>
  <c r="D169" i="26"/>
  <c r="C169" i="26"/>
  <c r="B169" i="26"/>
  <c r="D168" i="26"/>
  <c r="C168" i="26"/>
  <c r="B168" i="26"/>
  <c r="D167" i="26"/>
  <c r="C167" i="26"/>
  <c r="B167" i="26"/>
  <c r="D166" i="26"/>
  <c r="C166" i="26"/>
  <c r="B166" i="26"/>
  <c r="D165" i="26"/>
  <c r="C165" i="26"/>
  <c r="B165" i="26"/>
  <c r="D164" i="26"/>
  <c r="C164" i="26"/>
  <c r="B164" i="26"/>
  <c r="D163" i="26"/>
  <c r="C163" i="26"/>
  <c r="B163" i="26"/>
  <c r="D162" i="26"/>
  <c r="C162" i="26"/>
  <c r="B162" i="26"/>
  <c r="D161" i="26"/>
  <c r="C161" i="26"/>
  <c r="B161" i="26"/>
  <c r="D160" i="26"/>
  <c r="C160" i="26"/>
  <c r="B160" i="26"/>
  <c r="D159" i="26"/>
  <c r="C159" i="26"/>
  <c r="B159" i="26"/>
  <c r="D158" i="26"/>
  <c r="C158" i="26"/>
  <c r="B158" i="26"/>
  <c r="D157" i="26"/>
  <c r="C157" i="26"/>
  <c r="B157" i="26"/>
  <c r="D156" i="26"/>
  <c r="C156" i="26"/>
  <c r="B156" i="26"/>
  <c r="D155" i="26"/>
  <c r="C155" i="26"/>
  <c r="B155" i="26"/>
  <c r="D154" i="26"/>
  <c r="C154" i="26"/>
  <c r="B154" i="26"/>
  <c r="D153" i="26"/>
  <c r="C153" i="26"/>
  <c r="B153" i="26"/>
  <c r="D152" i="26"/>
  <c r="C152" i="26"/>
  <c r="B152" i="26"/>
  <c r="D151" i="26"/>
  <c r="C151" i="26"/>
  <c r="B151" i="26"/>
  <c r="D150" i="26"/>
  <c r="C150" i="26"/>
  <c r="B150" i="26"/>
  <c r="D149" i="26"/>
  <c r="C149" i="26"/>
  <c r="B149" i="26"/>
  <c r="D148" i="26"/>
  <c r="C148" i="26"/>
  <c r="B148" i="26"/>
  <c r="D147" i="26"/>
  <c r="C147" i="26"/>
  <c r="B147" i="26"/>
  <c r="D146" i="26"/>
  <c r="C146" i="26"/>
  <c r="B146" i="26"/>
  <c r="D145" i="26"/>
  <c r="C145" i="26"/>
  <c r="B145" i="26"/>
  <c r="D144" i="26"/>
  <c r="C144" i="26"/>
  <c r="B144" i="26"/>
  <c r="D143" i="26"/>
  <c r="C143" i="26"/>
  <c r="B143" i="26"/>
  <c r="Z216" i="26" l="1"/>
  <c r="R216" i="26"/>
  <c r="J216" i="26"/>
  <c r="W214" i="26"/>
  <c r="O214" i="26"/>
  <c r="G214" i="26"/>
  <c r="K185" i="26"/>
  <c r="AA217" i="26"/>
  <c r="S217" i="26"/>
  <c r="K217" i="26"/>
  <c r="V213" i="26"/>
  <c r="N213" i="26"/>
  <c r="AA218" i="26"/>
  <c r="S218" i="26"/>
  <c r="K218" i="26"/>
  <c r="Z217" i="26"/>
  <c r="R217" i="26"/>
  <c r="J217" i="26"/>
  <c r="X216" i="26"/>
  <c r="P216" i="26"/>
  <c r="H216" i="26"/>
  <c r="W215" i="26"/>
  <c r="O215" i="26"/>
  <c r="G215" i="26"/>
  <c r="V214" i="26"/>
  <c r="N214" i="26"/>
  <c r="AB213" i="26"/>
  <c r="T213" i="26"/>
  <c r="L213" i="26"/>
  <c r="Z218" i="26"/>
  <c r="R218" i="26"/>
  <c r="J218" i="26"/>
  <c r="X217" i="26"/>
  <c r="P217" i="26"/>
  <c r="H217" i="26"/>
  <c r="W216" i="26"/>
  <c r="O216" i="26"/>
  <c r="G216" i="26"/>
  <c r="V215" i="26"/>
  <c r="N215" i="26"/>
  <c r="AB214" i="26"/>
  <c r="T214" i="26"/>
  <c r="L214" i="26"/>
  <c r="AA213" i="26"/>
  <c r="S213" i="26"/>
  <c r="K213" i="26"/>
  <c r="X218" i="26"/>
  <c r="P218" i="26"/>
  <c r="H218" i="26"/>
  <c r="W217" i="26"/>
  <c r="O217" i="26"/>
  <c r="G217" i="26"/>
  <c r="V216" i="26"/>
  <c r="N216" i="26"/>
  <c r="AB215" i="26"/>
  <c r="T215" i="26"/>
  <c r="L215" i="26"/>
  <c r="AA214" i="26"/>
  <c r="S214" i="26"/>
  <c r="K214" i="26"/>
  <c r="Z213" i="26"/>
  <c r="R213" i="26"/>
  <c r="J213" i="26"/>
  <c r="W218" i="26"/>
  <c r="O218" i="26"/>
  <c r="G218" i="26"/>
  <c r="V217" i="26"/>
  <c r="N217" i="26"/>
  <c r="AB216" i="26"/>
  <c r="T216" i="26"/>
  <c r="L216" i="26"/>
  <c r="AA215" i="26"/>
  <c r="S215" i="26"/>
  <c r="K215" i="26"/>
  <c r="Z214" i="26"/>
  <c r="R214" i="26"/>
  <c r="J214" i="26"/>
  <c r="X213" i="26"/>
  <c r="P213" i="26"/>
  <c r="H213" i="26"/>
  <c r="V218" i="26"/>
  <c r="N218" i="26"/>
  <c r="AB217" i="26"/>
  <c r="T217" i="26"/>
  <c r="L217" i="26"/>
  <c r="AA216" i="26"/>
  <c r="S216" i="26"/>
  <c r="K216" i="26"/>
  <c r="Z215" i="26"/>
  <c r="R215" i="26"/>
  <c r="J215" i="26"/>
  <c r="X214" i="26"/>
  <c r="P214" i="26"/>
  <c r="H214" i="26"/>
  <c r="W213" i="26"/>
  <c r="O213" i="26"/>
  <c r="G213" i="26"/>
  <c r="L292" i="26"/>
  <c r="H187" i="26"/>
  <c r="AA187" i="26"/>
  <c r="S186" i="26"/>
  <c r="H294" i="26"/>
  <c r="X186" i="26"/>
  <c r="AB185" i="26"/>
  <c r="T189" i="26"/>
  <c r="N185" i="26"/>
  <c r="G186" i="26"/>
  <c r="V290" i="26"/>
  <c r="R289" i="26"/>
  <c r="N294" i="26"/>
  <c r="W185" i="26"/>
  <c r="P185" i="26"/>
  <c r="J185" i="26"/>
  <c r="AA291" i="26"/>
  <c r="F289" i="26"/>
  <c r="J291" i="26"/>
  <c r="W188" i="26"/>
  <c r="P188" i="26"/>
  <c r="J188" i="26"/>
  <c r="X290" i="26"/>
  <c r="K290" i="26"/>
  <c r="R292" i="26"/>
  <c r="P291" i="26"/>
  <c r="P290" i="26"/>
  <c r="Z186" i="26"/>
  <c r="R186" i="26"/>
  <c r="L186" i="26"/>
  <c r="V291" i="26"/>
  <c r="O291" i="26"/>
  <c r="V293" i="26"/>
  <c r="J290" i="26"/>
  <c r="W290" i="26"/>
  <c r="AB289" i="26"/>
  <c r="T289" i="26"/>
  <c r="N289" i="26"/>
  <c r="H289" i="26"/>
  <c r="P293" i="26"/>
  <c r="T291" i="26"/>
  <c r="X289" i="26"/>
  <c r="F185" i="26"/>
  <c r="O186" i="26"/>
  <c r="F190" i="26"/>
  <c r="AA289" i="26"/>
  <c r="S289" i="26"/>
  <c r="G289" i="26"/>
  <c r="AA294" i="26"/>
  <c r="J293" i="26"/>
  <c r="N291" i="26"/>
  <c r="V188" i="26"/>
  <c r="F188" i="26"/>
  <c r="V185" i="26"/>
  <c r="O185" i="26"/>
  <c r="K186" i="26"/>
  <c r="AB186" i="26"/>
  <c r="F189" i="26"/>
  <c r="Z289" i="26"/>
  <c r="R290" i="26"/>
  <c r="L290" i="26"/>
  <c r="F294" i="26"/>
  <c r="T294" i="26"/>
  <c r="X292" i="26"/>
  <c r="H291" i="26"/>
  <c r="L289" i="26"/>
  <c r="W190" i="26"/>
  <c r="K188" i="26"/>
  <c r="T185" i="26"/>
  <c r="V190" i="26"/>
  <c r="P190" i="26"/>
  <c r="J190" i="26"/>
  <c r="Z189" i="26"/>
  <c r="S189" i="26"/>
  <c r="G189" i="26"/>
  <c r="Z187" i="26"/>
  <c r="S187" i="26"/>
  <c r="G187" i="26"/>
  <c r="V186" i="26"/>
  <c r="P186" i="26"/>
  <c r="J186" i="26"/>
  <c r="Z185" i="26"/>
  <c r="S185" i="26"/>
  <c r="G185" i="26"/>
  <c r="F290" i="26"/>
  <c r="Z294" i="26"/>
  <c r="S294" i="26"/>
  <c r="G294" i="26"/>
  <c r="O293" i="26"/>
  <c r="W292" i="26"/>
  <c r="K292" i="26"/>
  <c r="Z291" i="26"/>
  <c r="S291" i="26"/>
  <c r="G291" i="26"/>
  <c r="O290" i="26"/>
  <c r="W289" i="26"/>
  <c r="K289" i="26"/>
  <c r="AB293" i="26"/>
  <c r="AA189" i="26"/>
  <c r="W186" i="26"/>
  <c r="H185" i="26"/>
  <c r="AB190" i="26"/>
  <c r="O190" i="26"/>
  <c r="X189" i="26"/>
  <c r="R189" i="26"/>
  <c r="L189" i="26"/>
  <c r="AB188" i="26"/>
  <c r="O188" i="26"/>
  <c r="X187" i="26"/>
  <c r="R187" i="26"/>
  <c r="L187" i="26"/>
  <c r="X185" i="26"/>
  <c r="R185" i="26"/>
  <c r="L185" i="26"/>
  <c r="F291" i="26"/>
  <c r="X294" i="26"/>
  <c r="R294" i="26"/>
  <c r="L294" i="26"/>
  <c r="AA293" i="26"/>
  <c r="T293" i="26"/>
  <c r="N293" i="26"/>
  <c r="H293" i="26"/>
  <c r="V292" i="26"/>
  <c r="P292" i="26"/>
  <c r="J292" i="26"/>
  <c r="X291" i="26"/>
  <c r="R291" i="26"/>
  <c r="L291" i="26"/>
  <c r="AA290" i="26"/>
  <c r="T290" i="26"/>
  <c r="N290" i="26"/>
  <c r="H290" i="26"/>
  <c r="V289" i="26"/>
  <c r="P289" i="26"/>
  <c r="J289" i="26"/>
  <c r="AB292" i="26"/>
  <c r="K190" i="26"/>
  <c r="H189" i="26"/>
  <c r="T187" i="26"/>
  <c r="AA185" i="26"/>
  <c r="F186" i="26"/>
  <c r="AA190" i="26"/>
  <c r="T190" i="26"/>
  <c r="N190" i="26"/>
  <c r="H190" i="26"/>
  <c r="W189" i="26"/>
  <c r="K189" i="26"/>
  <c r="AA188" i="26"/>
  <c r="T188" i="26"/>
  <c r="N188" i="26"/>
  <c r="H188" i="26"/>
  <c r="W187" i="26"/>
  <c r="K187" i="26"/>
  <c r="AA186" i="26"/>
  <c r="T186" i="26"/>
  <c r="N186" i="26"/>
  <c r="H186" i="26"/>
  <c r="F292" i="26"/>
  <c r="W294" i="26"/>
  <c r="K294" i="26"/>
  <c r="Z293" i="26"/>
  <c r="S293" i="26"/>
  <c r="G293" i="26"/>
  <c r="O292" i="26"/>
  <c r="W291" i="26"/>
  <c r="K291" i="26"/>
  <c r="Z290" i="26"/>
  <c r="S290" i="26"/>
  <c r="G290" i="26"/>
  <c r="O289" i="26"/>
  <c r="AB291" i="26"/>
  <c r="N189" i="26"/>
  <c r="N187" i="26"/>
  <c r="F187" i="26"/>
  <c r="Z190" i="26"/>
  <c r="S190" i="26"/>
  <c r="G190" i="26"/>
  <c r="V189" i="26"/>
  <c r="P189" i="26"/>
  <c r="J189" i="26"/>
  <c r="Z188" i="26"/>
  <c r="S188" i="26"/>
  <c r="G188" i="26"/>
  <c r="V187" i="26"/>
  <c r="P187" i="26"/>
  <c r="J187" i="26"/>
  <c r="F293" i="26"/>
  <c r="V294" i="26"/>
  <c r="P294" i="26"/>
  <c r="J294" i="26"/>
  <c r="X293" i="26"/>
  <c r="R293" i="26"/>
  <c r="L293" i="26"/>
  <c r="AA292" i="26"/>
  <c r="T292" i="26"/>
  <c r="N292" i="26"/>
  <c r="H292" i="26"/>
  <c r="AB290" i="26"/>
  <c r="AB294" i="26"/>
  <c r="X190" i="26"/>
  <c r="R190" i="26"/>
  <c r="L190" i="26"/>
  <c r="AB189" i="26"/>
  <c r="O189" i="26"/>
  <c r="X188" i="26"/>
  <c r="R188" i="26"/>
  <c r="L188" i="26"/>
  <c r="AB187" i="26"/>
  <c r="O187" i="26"/>
  <c r="O294" i="26"/>
  <c r="W293" i="26"/>
  <c r="K293" i="26"/>
  <c r="Z292" i="26"/>
  <c r="S292" i="26"/>
  <c r="G292" i="26"/>
  <c r="U105" i="21"/>
  <c r="U106" i="21"/>
  <c r="U107" i="21"/>
  <c r="U108" i="21"/>
  <c r="U109" i="21"/>
  <c r="U110" i="21"/>
  <c r="U111" i="21"/>
  <c r="U112" i="21"/>
  <c r="U113" i="21"/>
  <c r="U114" i="21"/>
  <c r="U115" i="21"/>
  <c r="U116" i="21"/>
  <c r="U117" i="21"/>
  <c r="U118" i="21"/>
  <c r="U119" i="21"/>
  <c r="U120" i="21"/>
  <c r="U121" i="21"/>
  <c r="U122" i="21"/>
  <c r="U123" i="21"/>
  <c r="U124" i="21"/>
  <c r="U125" i="21"/>
  <c r="U126" i="21"/>
  <c r="U127" i="21"/>
  <c r="U128" i="21"/>
  <c r="U129" i="21"/>
  <c r="U130" i="21"/>
  <c r="U131" i="21"/>
  <c r="U132" i="21"/>
  <c r="U89" i="21"/>
  <c r="U90" i="21"/>
  <c r="U91" i="21"/>
  <c r="U92" i="21"/>
  <c r="U93" i="21"/>
  <c r="U94" i="21"/>
  <c r="U95" i="21"/>
  <c r="U96" i="21"/>
  <c r="U97" i="21"/>
  <c r="U98" i="21"/>
  <c r="U99" i="21"/>
  <c r="U100" i="21"/>
  <c r="U101" i="21"/>
  <c r="U102" i="21"/>
  <c r="U103" i="21"/>
  <c r="U104" i="21"/>
  <c r="U77" i="21"/>
  <c r="U78" i="21"/>
  <c r="U79" i="21"/>
  <c r="U80" i="21"/>
  <c r="U81" i="21"/>
  <c r="U82" i="21"/>
  <c r="U83" i="21"/>
  <c r="U84" i="21"/>
  <c r="U85" i="21"/>
  <c r="U86" i="21"/>
  <c r="U87" i="21"/>
  <c r="U88" i="21"/>
  <c r="U49" i="21"/>
  <c r="U50" i="21"/>
  <c r="U51" i="21"/>
  <c r="U52" i="21"/>
  <c r="U53" i="21"/>
  <c r="U54" i="21"/>
  <c r="U55" i="21"/>
  <c r="U56" i="21"/>
  <c r="U57" i="21"/>
  <c r="U58" i="21"/>
  <c r="U59" i="21"/>
  <c r="U60" i="21"/>
  <c r="U61" i="21"/>
  <c r="U62" i="21"/>
  <c r="U63" i="21"/>
  <c r="U64" i="21"/>
  <c r="U65" i="21"/>
  <c r="U66" i="21"/>
  <c r="U67" i="21"/>
  <c r="U68" i="21"/>
  <c r="U69" i="21"/>
  <c r="U70" i="21"/>
  <c r="U71" i="21"/>
  <c r="U72" i="21"/>
  <c r="U73" i="21"/>
  <c r="U74" i="21"/>
  <c r="U75" i="21"/>
  <c r="U76" i="21"/>
  <c r="U42" i="21"/>
  <c r="U43" i="21"/>
  <c r="U44" i="21"/>
  <c r="U45" i="21"/>
  <c r="U46" i="21"/>
  <c r="U47" i="21"/>
  <c r="U48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35" i="21"/>
  <c r="U36" i="21"/>
  <c r="U37" i="21"/>
  <c r="U38" i="21"/>
  <c r="U39" i="21"/>
  <c r="U40" i="21"/>
  <c r="U41" i="21"/>
  <c r="U6" i="21"/>
  <c r="U7" i="21"/>
  <c r="U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5" i="21"/>
  <c r="T98" i="21"/>
  <c r="T99" i="21"/>
  <c r="T100" i="21"/>
  <c r="T101" i="21"/>
  <c r="T102" i="21"/>
  <c r="T103" i="21"/>
  <c r="T104" i="21"/>
  <c r="T105" i="21"/>
  <c r="T106" i="21"/>
  <c r="T107" i="21"/>
  <c r="T108" i="21"/>
  <c r="T109" i="21"/>
  <c r="T110" i="21"/>
  <c r="T111" i="21"/>
  <c r="T112" i="21"/>
  <c r="T113" i="21"/>
  <c r="T114" i="21"/>
  <c r="T115" i="21"/>
  <c r="T116" i="21"/>
  <c r="T117" i="21"/>
  <c r="T118" i="21"/>
  <c r="T119" i="21"/>
  <c r="T120" i="21"/>
  <c r="T121" i="21"/>
  <c r="T122" i="21"/>
  <c r="T123" i="21"/>
  <c r="T124" i="21"/>
  <c r="T125" i="21"/>
  <c r="T126" i="21"/>
  <c r="T127" i="21"/>
  <c r="T128" i="21"/>
  <c r="T129" i="21"/>
  <c r="T130" i="21"/>
  <c r="T131" i="21"/>
  <c r="T132" i="21"/>
  <c r="T86" i="21"/>
  <c r="T87" i="21"/>
  <c r="T88" i="21"/>
  <c r="T89" i="21"/>
  <c r="T90" i="21"/>
  <c r="T91" i="21"/>
  <c r="T92" i="21"/>
  <c r="T93" i="21"/>
  <c r="T94" i="21"/>
  <c r="T95" i="21"/>
  <c r="T96" i="21"/>
  <c r="T97" i="21"/>
  <c r="T26" i="21"/>
  <c r="T27" i="21"/>
  <c r="T28" i="21"/>
  <c r="T29" i="21"/>
  <c r="T30" i="21"/>
  <c r="T31" i="21"/>
  <c r="T32" i="21"/>
  <c r="T33" i="21"/>
  <c r="T34" i="21"/>
  <c r="T35" i="21"/>
  <c r="T36" i="21"/>
  <c r="T37" i="21"/>
  <c r="T38" i="21"/>
  <c r="T39" i="21"/>
  <c r="T40" i="21"/>
  <c r="T41" i="21"/>
  <c r="T42" i="21"/>
  <c r="T43" i="21"/>
  <c r="T44" i="21"/>
  <c r="T45" i="21"/>
  <c r="T46" i="21"/>
  <c r="T47" i="21"/>
  <c r="T48" i="21"/>
  <c r="T49" i="21"/>
  <c r="T50" i="21"/>
  <c r="T51" i="21"/>
  <c r="T52" i="21"/>
  <c r="T53" i="21"/>
  <c r="T54" i="21"/>
  <c r="T55" i="21"/>
  <c r="T56" i="21"/>
  <c r="T57" i="21"/>
  <c r="T58" i="21"/>
  <c r="T59" i="21"/>
  <c r="T60" i="21"/>
  <c r="T61" i="21"/>
  <c r="T62" i="21"/>
  <c r="T63" i="21"/>
  <c r="T64" i="21"/>
  <c r="T65" i="21"/>
  <c r="T66" i="21"/>
  <c r="T67" i="21"/>
  <c r="T68" i="21"/>
  <c r="T69" i="21"/>
  <c r="T70" i="21"/>
  <c r="T71" i="21"/>
  <c r="T72" i="21"/>
  <c r="T73" i="21"/>
  <c r="T74" i="21"/>
  <c r="T75" i="21"/>
  <c r="T76" i="21"/>
  <c r="T77" i="21"/>
  <c r="T78" i="21"/>
  <c r="T79" i="21"/>
  <c r="T80" i="21"/>
  <c r="T81" i="21"/>
  <c r="T82" i="21"/>
  <c r="T83" i="21"/>
  <c r="T84" i="21"/>
  <c r="T85" i="21"/>
  <c r="T12" i="21"/>
  <c r="T13" i="21"/>
  <c r="T14" i="21"/>
  <c r="T15" i="21"/>
  <c r="T16" i="21"/>
  <c r="T17" i="21"/>
  <c r="T18" i="21"/>
  <c r="T19" i="21"/>
  <c r="T20" i="21"/>
  <c r="T21" i="21"/>
  <c r="T22" i="21"/>
  <c r="T23" i="21"/>
  <c r="T24" i="21"/>
  <c r="T25" i="21"/>
  <c r="T6" i="21"/>
  <c r="T7" i="21"/>
  <c r="T8" i="21"/>
  <c r="T9" i="21"/>
  <c r="T10" i="21"/>
  <c r="T11" i="21"/>
  <c r="T5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82" i="21"/>
  <c r="K83" i="21"/>
  <c r="K84" i="21"/>
  <c r="K85" i="21"/>
  <c r="K86" i="21"/>
  <c r="K87" i="21"/>
  <c r="K88" i="21"/>
  <c r="K89" i="21"/>
  <c r="K90" i="21"/>
  <c r="K91" i="21"/>
  <c r="K92" i="21"/>
  <c r="K93" i="21"/>
  <c r="K94" i="21"/>
  <c r="K95" i="21"/>
  <c r="K96" i="21"/>
  <c r="K97" i="21"/>
  <c r="K98" i="21"/>
  <c r="K99" i="21"/>
  <c r="K100" i="21"/>
  <c r="K101" i="21"/>
  <c r="K102" i="21"/>
  <c r="K103" i="21"/>
  <c r="K104" i="21"/>
  <c r="K105" i="21"/>
  <c r="K106" i="21"/>
  <c r="K107" i="21"/>
  <c r="K108" i="21"/>
  <c r="K109" i="21"/>
  <c r="K110" i="21"/>
  <c r="K111" i="21"/>
  <c r="K112" i="21"/>
  <c r="K113" i="21"/>
  <c r="K114" i="21"/>
  <c r="K115" i="21"/>
  <c r="K116" i="21"/>
  <c r="K117" i="21"/>
  <c r="K118" i="21"/>
  <c r="K119" i="21"/>
  <c r="K120" i="21"/>
  <c r="K121" i="21"/>
  <c r="K122" i="21"/>
  <c r="K123" i="21"/>
  <c r="K124" i="21"/>
  <c r="K125" i="21"/>
  <c r="K126" i="21"/>
  <c r="K127" i="21"/>
  <c r="K128" i="21"/>
  <c r="K129" i="21"/>
  <c r="K130" i="21"/>
  <c r="K131" i="21"/>
  <c r="K132" i="21"/>
  <c r="K6" i="21"/>
  <c r="K7" i="21"/>
  <c r="K8" i="21"/>
  <c r="K9" i="21"/>
  <c r="K10" i="21"/>
  <c r="K11" i="21"/>
  <c r="K12" i="21"/>
  <c r="K13" i="21"/>
  <c r="K5" i="21"/>
  <c r="F213" i="26" l="1"/>
  <c r="F218" i="26"/>
  <c r="F217" i="26"/>
  <c r="F216" i="26"/>
  <c r="F215" i="26"/>
  <c r="F214" i="26"/>
  <c r="G6" i="25" l="1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5" i="25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H107" i="21"/>
  <c r="H108" i="21"/>
  <c r="H109" i="21"/>
  <c r="H110" i="21"/>
  <c r="H111" i="21"/>
  <c r="H112" i="21"/>
  <c r="H113" i="21"/>
  <c r="H114" i="21"/>
  <c r="H115" i="21"/>
  <c r="H116" i="21"/>
  <c r="H117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63" i="21"/>
  <c r="H64" i="21"/>
  <c r="H65" i="21"/>
  <c r="H66" i="21"/>
  <c r="H50" i="21"/>
  <c r="H51" i="21"/>
  <c r="H52" i="21"/>
  <c r="H53" i="21"/>
  <c r="H54" i="21"/>
  <c r="H55" i="21"/>
  <c r="H56" i="21"/>
  <c r="H57" i="21"/>
  <c r="H58" i="21"/>
  <c r="H59" i="21"/>
  <c r="H60" i="21"/>
  <c r="H62" i="21"/>
  <c r="H44" i="21"/>
  <c r="H45" i="21"/>
  <c r="H46" i="21"/>
  <c r="H47" i="21"/>
  <c r="H48" i="21"/>
  <c r="H49" i="21"/>
  <c r="H33" i="21"/>
  <c r="H34" i="21"/>
  <c r="H35" i="21"/>
  <c r="H36" i="21"/>
  <c r="H37" i="21"/>
  <c r="H38" i="21"/>
  <c r="H39" i="21"/>
  <c r="H41" i="21"/>
  <c r="H42" i="21"/>
  <c r="H43" i="21"/>
  <c r="H28" i="21"/>
  <c r="H29" i="21"/>
  <c r="H30" i="21"/>
  <c r="H31" i="21"/>
  <c r="H32" i="21"/>
  <c r="H25" i="21"/>
  <c r="H26" i="21"/>
  <c r="H27" i="21"/>
  <c r="H19" i="21"/>
  <c r="H20" i="21"/>
  <c r="H21" i="21"/>
  <c r="H22" i="21"/>
  <c r="H23" i="21"/>
  <c r="H24" i="21"/>
  <c r="H11" i="21"/>
  <c r="H12" i="21"/>
  <c r="H13" i="21"/>
  <c r="H15" i="21"/>
  <c r="H16" i="21"/>
  <c r="H17" i="21"/>
  <c r="H18" i="21"/>
  <c r="H6" i="21"/>
  <c r="H7" i="21"/>
  <c r="H8" i="21"/>
  <c r="H9" i="21"/>
  <c r="H10" i="21"/>
  <c r="H5" i="21"/>
  <c r="C133" i="20"/>
  <c r="H5" i="17" l="1"/>
  <c r="K6" i="25" l="1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5" i="25"/>
  <c r="F6" i="25"/>
  <c r="H6" i="25"/>
  <c r="I6" i="25"/>
  <c r="F7" i="25"/>
  <c r="H7" i="25"/>
  <c r="I7" i="25"/>
  <c r="F8" i="25"/>
  <c r="H8" i="25"/>
  <c r="F9" i="25"/>
  <c r="H9" i="25"/>
  <c r="I9" i="25"/>
  <c r="F10" i="25"/>
  <c r="H10" i="25"/>
  <c r="I10" i="25"/>
  <c r="F11" i="25"/>
  <c r="H11" i="25"/>
  <c r="I11" i="25"/>
  <c r="F12" i="25"/>
  <c r="H12" i="25"/>
  <c r="I12" i="25"/>
  <c r="F13" i="25"/>
  <c r="H13" i="25"/>
  <c r="I13" i="25"/>
  <c r="F14" i="25"/>
  <c r="H14" i="25"/>
  <c r="I14" i="25"/>
  <c r="F15" i="25"/>
  <c r="H15" i="25"/>
  <c r="I15" i="25"/>
  <c r="F16" i="25"/>
  <c r="H16" i="25"/>
  <c r="I16" i="25"/>
  <c r="F17" i="25"/>
  <c r="H17" i="25"/>
  <c r="I17" i="25"/>
  <c r="F18" i="25"/>
  <c r="H18" i="25"/>
  <c r="I18" i="25"/>
  <c r="F19" i="25"/>
  <c r="H19" i="25"/>
  <c r="I19" i="25"/>
  <c r="F20" i="25"/>
  <c r="H20" i="25"/>
  <c r="I20" i="25"/>
  <c r="F21" i="25"/>
  <c r="H21" i="25"/>
  <c r="I21" i="25"/>
  <c r="F22" i="25"/>
  <c r="H22" i="25"/>
  <c r="I22" i="25"/>
  <c r="F23" i="25"/>
  <c r="H23" i="25"/>
  <c r="I23" i="25"/>
  <c r="F24" i="25"/>
  <c r="H24" i="25"/>
  <c r="C6" i="25"/>
  <c r="D6" i="25"/>
  <c r="C7" i="25"/>
  <c r="D7" i="25"/>
  <c r="C8" i="25"/>
  <c r="D8" i="25"/>
  <c r="C9" i="25"/>
  <c r="D9" i="25"/>
  <c r="C10" i="25"/>
  <c r="D10" i="25"/>
  <c r="C11" i="25"/>
  <c r="D11" i="25"/>
  <c r="C12" i="25"/>
  <c r="D12" i="25"/>
  <c r="C13" i="25"/>
  <c r="D13" i="25"/>
  <c r="C14" i="25"/>
  <c r="D14" i="25"/>
  <c r="C15" i="25"/>
  <c r="D15" i="25"/>
  <c r="C16" i="25"/>
  <c r="D16" i="25"/>
  <c r="C17" i="25"/>
  <c r="D17" i="25"/>
  <c r="C18" i="25"/>
  <c r="D18" i="25"/>
  <c r="C19" i="25"/>
  <c r="D19" i="25"/>
  <c r="C20" i="25"/>
  <c r="D20" i="25"/>
  <c r="C21" i="25"/>
  <c r="D21" i="25"/>
  <c r="C22" i="25"/>
  <c r="D22" i="25"/>
  <c r="C23" i="25"/>
  <c r="D23" i="25"/>
  <c r="C24" i="25"/>
  <c r="D24" i="25"/>
  <c r="D5" i="25"/>
  <c r="C5" i="25"/>
  <c r="I5" i="25"/>
  <c r="H5" i="25"/>
  <c r="F5" i="25"/>
  <c r="E135" i="24" l="1"/>
  <c r="E136" i="24"/>
  <c r="E137" i="24"/>
  <c r="AO36" i="23"/>
  <c r="AP36" i="23"/>
  <c r="AK33" i="23" a="1"/>
  <c r="AK33" i="23" s="1"/>
  <c r="AK32" i="23" a="1"/>
  <c r="AK32" i="23" s="1"/>
  <c r="AK31" i="23" a="1"/>
  <c r="AK31" i="23" s="1"/>
  <c r="AK44" i="23" a="1"/>
  <c r="AK44" i="23" s="1"/>
  <c r="AK43" i="23" a="1"/>
  <c r="AK43" i="23" s="1"/>
  <c r="AK42" i="23" a="1"/>
  <c r="AK42" i="23" s="1"/>
  <c r="AK41" i="23" a="1"/>
  <c r="AK41" i="23" s="1"/>
  <c r="AK40" i="23" a="1"/>
  <c r="AK40" i="23" s="1"/>
  <c r="AK39" i="23" a="1"/>
  <c r="AK39" i="23" s="1"/>
  <c r="AK38" i="23" a="1"/>
  <c r="AK38" i="23" s="1"/>
  <c r="AK37" i="23" a="1"/>
  <c r="AK37" i="23" s="1"/>
  <c r="AR36" i="23" s="1"/>
  <c r="AK36" i="23" a="1"/>
  <c r="AK36" i="23" s="1"/>
  <c r="AK35" i="23" a="1"/>
  <c r="AK35" i="23" s="1"/>
  <c r="AK34" i="23" a="1"/>
  <c r="AK34" i="23" s="1"/>
  <c r="Y37" i="23"/>
  <c r="AO30" i="23"/>
  <c r="AB63" i="23" a="1"/>
  <c r="AB63" i="23" s="1"/>
  <c r="AT56" i="23"/>
  <c r="AT57" i="23"/>
  <c r="AT52" i="23"/>
  <c r="AS53" i="23"/>
  <c r="AS54" i="23"/>
  <c r="AS55" i="23"/>
  <c r="AS56" i="23"/>
  <c r="AS57" i="23"/>
  <c r="AS52" i="23"/>
  <c r="V5" i="23"/>
  <c r="V6" i="23"/>
  <c r="V7" i="23"/>
  <c r="V8" i="23"/>
  <c r="V9" i="23"/>
  <c r="V10" i="23"/>
  <c r="V11" i="23"/>
  <c r="V12" i="23"/>
  <c r="V13" i="23"/>
  <c r="V14" i="23"/>
  <c r="V15" i="23"/>
  <c r="V16" i="23"/>
  <c r="V17" i="23"/>
  <c r="V18" i="23"/>
  <c r="V19" i="23"/>
  <c r="V21" i="23"/>
  <c r="V22" i="23"/>
  <c r="V23" i="23"/>
  <c r="V24" i="23"/>
  <c r="V25" i="23"/>
  <c r="V26" i="23"/>
  <c r="V27" i="23"/>
  <c r="V28" i="23"/>
  <c r="V29" i="23"/>
  <c r="V30" i="23"/>
  <c r="V31" i="23"/>
  <c r="V32" i="23"/>
  <c r="V33" i="23"/>
  <c r="V34" i="23"/>
  <c r="V35" i="23"/>
  <c r="V36" i="23"/>
  <c r="V37" i="23"/>
  <c r="V38" i="23"/>
  <c r="V39" i="23"/>
  <c r="V40" i="23"/>
  <c r="V41" i="23"/>
  <c r="V42" i="23"/>
  <c r="V43" i="23"/>
  <c r="V44" i="23"/>
  <c r="V45" i="23"/>
  <c r="V46" i="23"/>
  <c r="V47" i="23"/>
  <c r="V48" i="23"/>
  <c r="V49" i="23"/>
  <c r="V50" i="23"/>
  <c r="V51" i="23"/>
  <c r="V52" i="23"/>
  <c r="V53" i="23"/>
  <c r="V54" i="23"/>
  <c r="V55" i="23"/>
  <c r="V56" i="23"/>
  <c r="V57" i="23"/>
  <c r="V58" i="23"/>
  <c r="V59" i="23"/>
  <c r="V60" i="23"/>
  <c r="V61" i="23"/>
  <c r="V62" i="23"/>
  <c r="V63" i="23"/>
  <c r="V64" i="23"/>
  <c r="V65" i="23"/>
  <c r="V66" i="23"/>
  <c r="V67" i="23"/>
  <c r="V68" i="23"/>
  <c r="V69" i="23"/>
  <c r="V70" i="23"/>
  <c r="V71" i="23"/>
  <c r="V72" i="23"/>
  <c r="V73" i="23"/>
  <c r="V74" i="23"/>
  <c r="V75" i="23"/>
  <c r="V76" i="23"/>
  <c r="V77" i="23"/>
  <c r="V78" i="23"/>
  <c r="V79" i="23"/>
  <c r="V80" i="23"/>
  <c r="V81" i="23"/>
  <c r="V82" i="23"/>
  <c r="V83" i="23"/>
  <c r="V84" i="23"/>
  <c r="V85" i="23"/>
  <c r="V86" i="23"/>
  <c r="V87" i="23"/>
  <c r="V88" i="23"/>
  <c r="V89" i="23"/>
  <c r="V90" i="23"/>
  <c r="V91" i="23"/>
  <c r="V92" i="23"/>
  <c r="V93" i="23"/>
  <c r="V94" i="23"/>
  <c r="V95" i="23"/>
  <c r="V96" i="23"/>
  <c r="V97" i="23"/>
  <c r="V98" i="23"/>
  <c r="V99" i="23"/>
  <c r="V100" i="23"/>
  <c r="V101" i="23"/>
  <c r="V102" i="23"/>
  <c r="V103" i="23"/>
  <c r="V104" i="23"/>
  <c r="V105" i="23"/>
  <c r="V106" i="23"/>
  <c r="V107" i="23"/>
  <c r="V108" i="23"/>
  <c r="V109" i="23"/>
  <c r="V110" i="23"/>
  <c r="V111" i="23"/>
  <c r="V112" i="23"/>
  <c r="V113" i="23"/>
  <c r="V114" i="23"/>
  <c r="V115" i="23"/>
  <c r="V116" i="23"/>
  <c r="V117" i="23"/>
  <c r="V118" i="23"/>
  <c r="V120" i="23"/>
  <c r="V121" i="23"/>
  <c r="V122" i="23"/>
  <c r="V123" i="23"/>
  <c r="V124" i="23"/>
  <c r="V125" i="23"/>
  <c r="V126" i="23"/>
  <c r="V127" i="23"/>
  <c r="V128" i="23"/>
  <c r="V129" i="23"/>
  <c r="V130" i="23"/>
  <c r="V131" i="23"/>
  <c r="V4" i="23"/>
  <c r="W9" i="23"/>
  <c r="L9" i="23"/>
  <c r="H9" i="23"/>
  <c r="G136" i="23" a="1"/>
  <c r="G136" i="23" s="1"/>
  <c r="G135" i="23" a="1"/>
  <c r="G135" i="23" s="1"/>
  <c r="Z151" i="22" l="1"/>
  <c r="Z152" i="22"/>
  <c r="M39" i="21" l="1"/>
  <c r="M43" i="21"/>
  <c r="M45" i="21"/>
  <c r="M49" i="21"/>
  <c r="M51" i="21"/>
  <c r="M55" i="21"/>
  <c r="M57" i="21"/>
  <c r="M61" i="21"/>
  <c r="M67" i="21"/>
  <c r="M69" i="21"/>
  <c r="M73" i="21"/>
  <c r="M79" i="21"/>
  <c r="M85" i="21"/>
  <c r="M91" i="21"/>
  <c r="M97" i="21"/>
  <c r="M103" i="21"/>
  <c r="M105" i="21"/>
  <c r="M109" i="21"/>
  <c r="M115" i="21"/>
  <c r="M121" i="21"/>
  <c r="M127" i="21"/>
  <c r="M6" i="21"/>
  <c r="N6" i="21"/>
  <c r="N7" i="21"/>
  <c r="M8" i="21"/>
  <c r="N8" i="21"/>
  <c r="N9" i="21"/>
  <c r="M10" i="21"/>
  <c r="N10" i="21"/>
  <c r="M11" i="21"/>
  <c r="N11" i="21"/>
  <c r="M12" i="21"/>
  <c r="N12" i="21"/>
  <c r="N13" i="21"/>
  <c r="M14" i="21"/>
  <c r="N14" i="21"/>
  <c r="N15" i="21"/>
  <c r="M16" i="21"/>
  <c r="N16" i="21"/>
  <c r="N17" i="21"/>
  <c r="M18" i="21"/>
  <c r="N18" i="21"/>
  <c r="N19" i="21"/>
  <c r="M20" i="21"/>
  <c r="N20" i="21"/>
  <c r="N21" i="21"/>
  <c r="M22" i="21"/>
  <c r="N22" i="21"/>
  <c r="N23" i="21"/>
  <c r="M24" i="21"/>
  <c r="N24" i="21"/>
  <c r="N25" i="21"/>
  <c r="M26" i="21"/>
  <c r="N26" i="21"/>
  <c r="N27" i="21"/>
  <c r="M28" i="21"/>
  <c r="N28" i="21"/>
  <c r="M29" i="21"/>
  <c r="N29" i="21"/>
  <c r="M30" i="21"/>
  <c r="N30" i="21"/>
  <c r="N31" i="21"/>
  <c r="M32" i="21"/>
  <c r="N32" i="21"/>
  <c r="N33" i="21"/>
  <c r="M34" i="21"/>
  <c r="N34" i="21"/>
  <c r="N35" i="21"/>
  <c r="M36" i="21"/>
  <c r="N36" i="21"/>
  <c r="N37" i="21"/>
  <c r="M38" i="21"/>
  <c r="N38" i="21"/>
  <c r="N39" i="21"/>
  <c r="M40" i="21"/>
  <c r="N40" i="21"/>
  <c r="M41" i="21"/>
  <c r="N41" i="21"/>
  <c r="M42" i="21"/>
  <c r="N42" i="21"/>
  <c r="N43" i="21"/>
  <c r="M44" i="21"/>
  <c r="N44" i="21"/>
  <c r="N45" i="21"/>
  <c r="M46" i="21"/>
  <c r="N46" i="21"/>
  <c r="M47" i="21"/>
  <c r="N47" i="21"/>
  <c r="M48" i="21"/>
  <c r="N48" i="21"/>
  <c r="N49" i="21"/>
  <c r="M50" i="21"/>
  <c r="N50" i="21"/>
  <c r="N51" i="21"/>
  <c r="M52" i="21"/>
  <c r="N52" i="21"/>
  <c r="M53" i="21"/>
  <c r="N53" i="21"/>
  <c r="M54" i="21"/>
  <c r="N54" i="21"/>
  <c r="N55" i="21"/>
  <c r="M56" i="21"/>
  <c r="N56" i="21"/>
  <c r="N57" i="21"/>
  <c r="M58" i="21"/>
  <c r="N58" i="21"/>
  <c r="M59" i="21"/>
  <c r="N59" i="21"/>
  <c r="M60" i="21"/>
  <c r="N60" i="21"/>
  <c r="N61" i="21"/>
  <c r="M62" i="21"/>
  <c r="N62" i="21"/>
  <c r="M63" i="21"/>
  <c r="N63" i="21"/>
  <c r="M64" i="21"/>
  <c r="N64" i="21"/>
  <c r="M65" i="21"/>
  <c r="N65" i="21"/>
  <c r="M66" i="21"/>
  <c r="N66" i="21"/>
  <c r="N67" i="21"/>
  <c r="M68" i="21"/>
  <c r="N68" i="21"/>
  <c r="N69" i="21"/>
  <c r="M70" i="21"/>
  <c r="N70" i="21"/>
  <c r="M71" i="21"/>
  <c r="N71" i="21"/>
  <c r="M72" i="21"/>
  <c r="N72" i="21"/>
  <c r="N73" i="21"/>
  <c r="M74" i="21"/>
  <c r="N74" i="21"/>
  <c r="M75" i="21"/>
  <c r="N75" i="21"/>
  <c r="M76" i="21"/>
  <c r="N76" i="21"/>
  <c r="M77" i="21"/>
  <c r="N77" i="21"/>
  <c r="M78" i="21"/>
  <c r="N78" i="21"/>
  <c r="N79" i="21"/>
  <c r="M80" i="21"/>
  <c r="N80" i="21"/>
  <c r="M81" i="21"/>
  <c r="N81" i="21"/>
  <c r="M82" i="21"/>
  <c r="N82" i="21"/>
  <c r="M83" i="21"/>
  <c r="N83" i="21"/>
  <c r="M84" i="21"/>
  <c r="N84" i="21"/>
  <c r="N85" i="21"/>
  <c r="M86" i="21"/>
  <c r="N86" i="21"/>
  <c r="M87" i="21"/>
  <c r="N87" i="21"/>
  <c r="M88" i="21"/>
  <c r="N88" i="21"/>
  <c r="M89" i="21"/>
  <c r="N89" i="21"/>
  <c r="M90" i="21"/>
  <c r="N90" i="21"/>
  <c r="N91" i="21"/>
  <c r="M92" i="21"/>
  <c r="N92" i="21"/>
  <c r="N93" i="21"/>
  <c r="M94" i="21"/>
  <c r="N94" i="21"/>
  <c r="M95" i="21"/>
  <c r="N95" i="21"/>
  <c r="M96" i="21"/>
  <c r="N96" i="21"/>
  <c r="N97" i="21"/>
  <c r="M98" i="21"/>
  <c r="N98" i="21"/>
  <c r="M99" i="21"/>
  <c r="N99" i="21"/>
  <c r="M100" i="21"/>
  <c r="N100" i="21"/>
  <c r="M101" i="21"/>
  <c r="N101" i="21"/>
  <c r="M102" i="21"/>
  <c r="N102" i="21"/>
  <c r="N103" i="21"/>
  <c r="M104" i="21"/>
  <c r="N104" i="21"/>
  <c r="N105" i="21"/>
  <c r="M106" i="21"/>
  <c r="N106" i="21"/>
  <c r="M107" i="21"/>
  <c r="N107" i="21"/>
  <c r="M108" i="21"/>
  <c r="N108" i="21"/>
  <c r="N109" i="21"/>
  <c r="M110" i="21"/>
  <c r="N110" i="21"/>
  <c r="M111" i="21"/>
  <c r="N111" i="21"/>
  <c r="M112" i="21"/>
  <c r="N112" i="21"/>
  <c r="M113" i="21"/>
  <c r="N113" i="21"/>
  <c r="M114" i="21"/>
  <c r="N114" i="21"/>
  <c r="N115" i="21"/>
  <c r="M116" i="21"/>
  <c r="N116" i="21"/>
  <c r="M117" i="21"/>
  <c r="N117" i="21"/>
  <c r="M118" i="21"/>
  <c r="N118" i="21"/>
  <c r="M119" i="21"/>
  <c r="N119" i="21"/>
  <c r="M120" i="21"/>
  <c r="N120" i="21"/>
  <c r="N121" i="21"/>
  <c r="M122" i="21"/>
  <c r="N122" i="21"/>
  <c r="M123" i="21"/>
  <c r="N123" i="21"/>
  <c r="M124" i="21"/>
  <c r="N124" i="21"/>
  <c r="M125" i="21"/>
  <c r="N125" i="21"/>
  <c r="M126" i="21"/>
  <c r="N126" i="21"/>
  <c r="N127" i="21"/>
  <c r="M128" i="21"/>
  <c r="N128" i="21"/>
  <c r="N129" i="21"/>
  <c r="M130" i="21"/>
  <c r="N130" i="21"/>
  <c r="M131" i="21"/>
  <c r="N131" i="21"/>
  <c r="M132" i="21"/>
  <c r="N132" i="21"/>
  <c r="N5" i="21"/>
  <c r="M5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J105" i="21"/>
  <c r="J106" i="21"/>
  <c r="J107" i="2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J5" i="21"/>
  <c r="M129" i="21" l="1"/>
  <c r="M93" i="21"/>
  <c r="M35" i="21"/>
  <c r="M17" i="21"/>
  <c r="M37" i="21"/>
  <c r="M31" i="21"/>
  <c r="M25" i="21"/>
  <c r="M19" i="21"/>
  <c r="M13" i="21"/>
  <c r="M7" i="21"/>
  <c r="M23" i="21"/>
  <c r="M33" i="21"/>
  <c r="M27" i="21"/>
  <c r="M21" i="21"/>
  <c r="M15" i="21"/>
  <c r="M9" i="21"/>
  <c r="V168" i="20"/>
  <c r="W168" i="20"/>
  <c r="X168" i="20"/>
  <c r="V6" i="20"/>
  <c r="X6" i="20"/>
  <c r="V7" i="20"/>
  <c r="X7" i="20"/>
  <c r="V8" i="20"/>
  <c r="X9" i="20"/>
  <c r="X10" i="20"/>
  <c r="X11" i="20"/>
  <c r="X12" i="20"/>
  <c r="V13" i="20"/>
  <c r="X13" i="20"/>
  <c r="X14" i="20"/>
  <c r="V15" i="20"/>
  <c r="X15" i="20"/>
  <c r="X16" i="20"/>
  <c r="X17" i="20"/>
  <c r="V18" i="20"/>
  <c r="X18" i="20"/>
  <c r="V19" i="20"/>
  <c r="X19" i="20"/>
  <c r="V20" i="20"/>
  <c r="X20" i="20"/>
  <c r="V21" i="20"/>
  <c r="X21" i="20"/>
  <c r="X22" i="20"/>
  <c r="X23" i="20"/>
  <c r="V24" i="20"/>
  <c r="X24" i="20"/>
  <c r="V25" i="20"/>
  <c r="X25" i="20"/>
  <c r="X26" i="20"/>
  <c r="V27" i="20"/>
  <c r="X27" i="20"/>
  <c r="X28" i="20"/>
  <c r="X29" i="20"/>
  <c r="X30" i="20"/>
  <c r="V31" i="20"/>
  <c r="X31" i="20"/>
  <c r="V32" i="20"/>
  <c r="X32" i="20"/>
  <c r="X33" i="20"/>
  <c r="X34" i="20"/>
  <c r="X35" i="20"/>
  <c r="V36" i="20"/>
  <c r="X36" i="20"/>
  <c r="V37" i="20"/>
  <c r="X37" i="20"/>
  <c r="X38" i="20"/>
  <c r="V39" i="20"/>
  <c r="X39" i="20"/>
  <c r="X40" i="20"/>
  <c r="V41" i="20"/>
  <c r="X41" i="20"/>
  <c r="X42" i="20"/>
  <c r="X43" i="20"/>
  <c r="X44" i="20"/>
  <c r="V45" i="20"/>
  <c r="X45" i="20"/>
  <c r="X46" i="20"/>
  <c r="X47" i="20"/>
  <c r="X48" i="20"/>
  <c r="X49" i="20"/>
  <c r="X50" i="20"/>
  <c r="X51" i="20"/>
  <c r="X52" i="20"/>
  <c r="X53" i="20"/>
  <c r="X54" i="20"/>
  <c r="X55" i="20"/>
  <c r="X56" i="20"/>
  <c r="V57" i="20"/>
  <c r="X57" i="20"/>
  <c r="X58" i="20"/>
  <c r="V59" i="20"/>
  <c r="X59" i="20"/>
  <c r="X60" i="20"/>
  <c r="X61" i="20"/>
  <c r="X62" i="20"/>
  <c r="X63" i="20"/>
  <c r="X64" i="20"/>
  <c r="V65" i="20"/>
  <c r="X65" i="20"/>
  <c r="X66" i="20"/>
  <c r="X67" i="20"/>
  <c r="X68" i="20"/>
  <c r="X69" i="20"/>
  <c r="X70" i="20"/>
  <c r="V71" i="20"/>
  <c r="X71" i="20"/>
  <c r="X72" i="20"/>
  <c r="X73" i="20"/>
  <c r="X74" i="20"/>
  <c r="X75" i="20"/>
  <c r="X76" i="20"/>
  <c r="X77" i="20"/>
  <c r="X78" i="20"/>
  <c r="X79" i="20"/>
  <c r="X80" i="20"/>
  <c r="V81" i="20"/>
  <c r="X81" i="20"/>
  <c r="X82" i="20"/>
  <c r="X83" i="20"/>
  <c r="X84" i="20"/>
  <c r="X85" i="20"/>
  <c r="V86" i="20"/>
  <c r="X86" i="20"/>
  <c r="X87" i="20"/>
  <c r="X88" i="20"/>
  <c r="X89" i="20"/>
  <c r="X90" i="20"/>
  <c r="X91" i="20"/>
  <c r="X92" i="20"/>
  <c r="X93" i="20"/>
  <c r="X94" i="20"/>
  <c r="V95" i="20"/>
  <c r="X95" i="20"/>
  <c r="X96" i="20"/>
  <c r="X97" i="20"/>
  <c r="X98" i="20"/>
  <c r="X99" i="20"/>
  <c r="X100" i="20"/>
  <c r="X101" i="20"/>
  <c r="X102" i="20"/>
  <c r="V103" i="20"/>
  <c r="X103" i="20"/>
  <c r="X104" i="20"/>
  <c r="X105" i="20"/>
  <c r="X106" i="20"/>
  <c r="V107" i="20"/>
  <c r="X107" i="20"/>
  <c r="X108" i="20"/>
  <c r="X109" i="20"/>
  <c r="X110" i="20"/>
  <c r="X111" i="20"/>
  <c r="X112" i="20"/>
  <c r="X113" i="20"/>
  <c r="X114" i="20"/>
  <c r="X115" i="20"/>
  <c r="X116" i="20"/>
  <c r="X117" i="20"/>
  <c r="X118" i="20"/>
  <c r="V119" i="20"/>
  <c r="X119" i="20"/>
  <c r="X120" i="20"/>
  <c r="X121" i="20"/>
  <c r="X122" i="20"/>
  <c r="X123" i="20"/>
  <c r="X124" i="20"/>
  <c r="X125" i="20"/>
  <c r="X126" i="20"/>
  <c r="V127" i="20"/>
  <c r="X127" i="20"/>
  <c r="X128" i="20"/>
  <c r="X129" i="20"/>
  <c r="X130" i="20"/>
  <c r="X131" i="20"/>
  <c r="X132" i="20"/>
  <c r="X5" i="20"/>
  <c r="W85" i="20" l="1"/>
  <c r="W82" i="20"/>
  <c r="W76" i="20"/>
  <c r="W73" i="20"/>
  <c r="W64" i="20"/>
  <c r="W61" i="20"/>
  <c r="W58" i="20"/>
  <c r="W52" i="20"/>
  <c r="W10" i="20"/>
  <c r="W8" i="20"/>
  <c r="W12" i="20"/>
  <c r="W9" i="20"/>
  <c r="W6" i="20"/>
  <c r="W120" i="20"/>
  <c r="W87" i="20"/>
  <c r="W30" i="20"/>
  <c r="W24" i="20"/>
  <c r="W35" i="20"/>
  <c r="W29" i="20"/>
  <c r="W26" i="20"/>
  <c r="W132" i="20"/>
  <c r="W123" i="20"/>
  <c r="W108" i="20"/>
  <c r="W96" i="20"/>
  <c r="W84" i="20"/>
  <c r="W33" i="20"/>
  <c r="W23" i="20"/>
  <c r="V35" i="20"/>
  <c r="W129" i="20"/>
  <c r="W117" i="20"/>
  <c r="W105" i="20"/>
  <c r="W93" i="20"/>
  <c r="W49" i="20"/>
  <c r="W46" i="20"/>
  <c r="V33" i="20"/>
  <c r="W14" i="20"/>
  <c r="V14" i="20"/>
  <c r="W5" i="20"/>
  <c r="V5" i="20"/>
  <c r="W127" i="20"/>
  <c r="W121" i="20"/>
  <c r="W115" i="20"/>
  <c r="W112" i="20"/>
  <c r="W106" i="20"/>
  <c r="W103" i="20"/>
  <c r="W100" i="20"/>
  <c r="W97" i="20"/>
  <c r="W94" i="20"/>
  <c r="W91" i="20"/>
  <c r="W88" i="20"/>
  <c r="V88" i="20"/>
  <c r="W79" i="20"/>
  <c r="V79" i="20"/>
  <c r="W67" i="20"/>
  <c r="V67" i="20"/>
  <c r="W55" i="20"/>
  <c r="V55" i="20"/>
  <c r="W43" i="20"/>
  <c r="V43" i="20"/>
  <c r="W40" i="20"/>
  <c r="V40" i="20"/>
  <c r="V49" i="20"/>
  <c r="W17" i="20"/>
  <c r="V17" i="20"/>
  <c r="W130" i="20"/>
  <c r="W124" i="20"/>
  <c r="W118" i="20"/>
  <c r="W109" i="20"/>
  <c r="V120" i="20"/>
  <c r="V96" i="20"/>
  <c r="V123" i="20"/>
  <c r="W114" i="20"/>
  <c r="V114" i="20"/>
  <c r="W111" i="20"/>
  <c r="V111" i="20"/>
  <c r="W102" i="20"/>
  <c r="V102" i="20"/>
  <c r="W99" i="20"/>
  <c r="V99" i="20"/>
  <c r="W90" i="20"/>
  <c r="V90" i="20"/>
  <c r="V115" i="20"/>
  <c r="V91" i="20"/>
  <c r="V61" i="20"/>
  <c r="W126" i="20"/>
  <c r="V126" i="20"/>
  <c r="W131" i="20"/>
  <c r="V131" i="20"/>
  <c r="W128" i="20"/>
  <c r="V132" i="20"/>
  <c r="V108" i="20"/>
  <c r="V23" i="20"/>
  <c r="X8" i="20"/>
  <c r="W34" i="20"/>
  <c r="W28" i="20"/>
  <c r="W11" i="20"/>
  <c r="V30" i="20"/>
  <c r="W81" i="20"/>
  <c r="W78" i="20"/>
  <c r="W75" i="20"/>
  <c r="W72" i="20"/>
  <c r="W69" i="20"/>
  <c r="W66" i="20"/>
  <c r="W63" i="20"/>
  <c r="W60" i="20"/>
  <c r="W57" i="20"/>
  <c r="W54" i="20"/>
  <c r="W51" i="20"/>
  <c r="W36" i="20"/>
  <c r="W22" i="20"/>
  <c r="W16" i="20"/>
  <c r="V84" i="20"/>
  <c r="V69" i="20"/>
  <c r="V51" i="20"/>
  <c r="V29" i="20"/>
  <c r="V10" i="20"/>
  <c r="V75" i="20"/>
  <c r="V63" i="20"/>
  <c r="V34" i="20"/>
  <c r="V22" i="20"/>
  <c r="V12" i="20"/>
  <c r="W125" i="20"/>
  <c r="W122" i="20"/>
  <c r="W119" i="20"/>
  <c r="W116" i="20"/>
  <c r="W113" i="20"/>
  <c r="W110" i="20"/>
  <c r="W107" i="20"/>
  <c r="W104" i="20"/>
  <c r="W101" i="20"/>
  <c r="W98" i="20"/>
  <c r="W95" i="20"/>
  <c r="W92" i="20"/>
  <c r="W89" i="20"/>
  <c r="W86" i="20"/>
  <c r="W83" i="20"/>
  <c r="W80" i="20"/>
  <c r="W77" i="20"/>
  <c r="W74" i="20"/>
  <c r="W71" i="20"/>
  <c r="W68" i="20"/>
  <c r="W65" i="20"/>
  <c r="W62" i="20"/>
  <c r="W59" i="20"/>
  <c r="W56" i="20"/>
  <c r="W53" i="20"/>
  <c r="W50" i="20"/>
  <c r="W47" i="20"/>
  <c r="W44" i="20"/>
  <c r="W41" i="20"/>
  <c r="W38" i="20"/>
  <c r="W32" i="20"/>
  <c r="W21" i="20"/>
  <c r="W18" i="20"/>
  <c r="V125" i="20"/>
  <c r="V122" i="20"/>
  <c r="V113" i="20"/>
  <c r="V110" i="20"/>
  <c r="V101" i="20"/>
  <c r="V98" i="20"/>
  <c r="V53" i="20"/>
  <c r="V38" i="20"/>
  <c r="V26" i="20"/>
  <c r="W20" i="20"/>
  <c r="V89" i="20"/>
  <c r="V83" i="20"/>
  <c r="V77" i="20"/>
  <c r="V47" i="20"/>
  <c r="V28" i="20"/>
  <c r="V16" i="20"/>
  <c r="V11" i="20"/>
  <c r="V9" i="20"/>
  <c r="V87" i="20"/>
  <c r="W70" i="20"/>
  <c r="V70" i="20"/>
  <c r="V80" i="20"/>
  <c r="V68" i="20"/>
  <c r="V56" i="20"/>
  <c r="V129" i="20"/>
  <c r="V121" i="20"/>
  <c r="V117" i="20"/>
  <c r="V109" i="20"/>
  <c r="V105" i="20"/>
  <c r="V97" i="20"/>
  <c r="V93" i="20"/>
  <c r="V85" i="20"/>
  <c r="V72" i="20"/>
  <c r="V60" i="20"/>
  <c r="V73" i="20"/>
  <c r="V74" i="20"/>
  <c r="V62" i="20"/>
  <c r="V82" i="20"/>
  <c r="V76" i="20"/>
  <c r="V64" i="20"/>
  <c r="V58" i="20"/>
  <c r="V130" i="20"/>
  <c r="V128" i="20"/>
  <c r="V124" i="20"/>
  <c r="V118" i="20"/>
  <c r="V116" i="20"/>
  <c r="V112" i="20"/>
  <c r="V106" i="20"/>
  <c r="V104" i="20"/>
  <c r="V100" i="20"/>
  <c r="V94" i="20"/>
  <c r="V92" i="20"/>
  <c r="V78" i="20"/>
  <c r="V66" i="20"/>
  <c r="V54" i="20"/>
  <c r="V52" i="20"/>
  <c r="V50" i="20"/>
  <c r="V48" i="20"/>
  <c r="V46" i="20"/>
  <c r="V44" i="20"/>
  <c r="V42" i="20"/>
  <c r="W31" i="20"/>
  <c r="W19" i="20"/>
  <c r="W7" i="20"/>
  <c r="W48" i="20"/>
  <c r="W45" i="20"/>
  <c r="W42" i="20"/>
  <c r="W37" i="20"/>
  <c r="W25" i="20"/>
  <c r="W13" i="20"/>
  <c r="W39" i="20"/>
  <c r="W27" i="20"/>
  <c r="W15" i="20"/>
  <c r="V84" i="19" l="1"/>
  <c r="V77" i="19"/>
  <c r="P316" i="1"/>
  <c r="P315" i="1"/>
  <c r="P314" i="1"/>
  <c r="O316" i="1"/>
  <c r="O315" i="1"/>
  <c r="O314" i="1"/>
  <c r="R315" i="1"/>
  <c r="Q315" i="1"/>
  <c r="N315" i="1"/>
  <c r="M315" i="1"/>
  <c r="L315" i="1"/>
  <c r="K315" i="1"/>
  <c r="G315" i="1"/>
  <c r="R214" i="1"/>
  <c r="Q214" i="1"/>
  <c r="P214" i="1"/>
  <c r="O214" i="1"/>
  <c r="N214" i="1"/>
  <c r="M214" i="1"/>
  <c r="L214" i="1"/>
  <c r="K214" i="1"/>
  <c r="G214" i="1"/>
  <c r="E214" i="1"/>
  <c r="D214" i="1"/>
  <c r="C214" i="1"/>
  <c r="B214" i="1"/>
  <c r="R213" i="1"/>
  <c r="Q213" i="1"/>
  <c r="P213" i="1"/>
  <c r="O213" i="1"/>
  <c r="N213" i="1"/>
  <c r="M213" i="1"/>
  <c r="L213" i="1"/>
  <c r="K213" i="1"/>
  <c r="G213" i="1"/>
  <c r="E213" i="1"/>
  <c r="D213" i="1"/>
  <c r="C213" i="1"/>
  <c r="B213" i="1"/>
  <c r="R212" i="1"/>
  <c r="Q212" i="1"/>
  <c r="P212" i="1"/>
  <c r="O212" i="1"/>
  <c r="N212" i="1"/>
  <c r="M212" i="1"/>
  <c r="L212" i="1"/>
  <c r="K212" i="1"/>
  <c r="G212" i="1"/>
  <c r="E212" i="1"/>
  <c r="D212" i="1"/>
  <c r="C212" i="1"/>
  <c r="B212" i="1"/>
  <c r="R211" i="1"/>
  <c r="Q211" i="1"/>
  <c r="P211" i="1"/>
  <c r="O211" i="1"/>
  <c r="N211" i="1"/>
  <c r="M211" i="1"/>
  <c r="L211" i="1"/>
  <c r="K211" i="1"/>
  <c r="G211" i="1"/>
  <c r="E211" i="1"/>
  <c r="D211" i="1"/>
  <c r="C211" i="1"/>
  <c r="B211" i="1"/>
  <c r="R210" i="1"/>
  <c r="Q210" i="1"/>
  <c r="P210" i="1"/>
  <c r="O210" i="1"/>
  <c r="N210" i="1"/>
  <c r="M210" i="1"/>
  <c r="L210" i="1"/>
  <c r="K210" i="1"/>
  <c r="G210" i="1"/>
  <c r="E210" i="1"/>
  <c r="D210" i="1"/>
  <c r="C210" i="1"/>
  <c r="B210" i="1"/>
  <c r="R209" i="1"/>
  <c r="Q209" i="1"/>
  <c r="P209" i="1"/>
  <c r="O209" i="1"/>
  <c r="N209" i="1"/>
  <c r="M209" i="1"/>
  <c r="L209" i="1"/>
  <c r="K209" i="1"/>
  <c r="G209" i="1"/>
  <c r="E209" i="1"/>
  <c r="D209" i="1"/>
  <c r="C209" i="1"/>
  <c r="B209" i="1"/>
  <c r="R208" i="1"/>
  <c r="Q208" i="1"/>
  <c r="P208" i="1"/>
  <c r="O208" i="1"/>
  <c r="N208" i="1"/>
  <c r="M208" i="1"/>
  <c r="L208" i="1"/>
  <c r="K208" i="1"/>
  <c r="G208" i="1"/>
  <c r="E208" i="1"/>
  <c r="D208" i="1"/>
  <c r="C208" i="1"/>
  <c r="B208" i="1"/>
  <c r="R207" i="1"/>
  <c r="Q207" i="1"/>
  <c r="P207" i="1"/>
  <c r="O207" i="1"/>
  <c r="N207" i="1"/>
  <c r="M207" i="1"/>
  <c r="L207" i="1"/>
  <c r="K207" i="1"/>
  <c r="G207" i="1"/>
  <c r="E207" i="1"/>
  <c r="D207" i="1"/>
  <c r="C207" i="1"/>
  <c r="B207" i="1"/>
  <c r="R206" i="1"/>
  <c r="Q206" i="1"/>
  <c r="P206" i="1"/>
  <c r="O206" i="1"/>
  <c r="N206" i="1"/>
  <c r="M206" i="1"/>
  <c r="L206" i="1"/>
  <c r="K206" i="1"/>
  <c r="G206" i="1"/>
  <c r="E206" i="1"/>
  <c r="D206" i="1"/>
  <c r="C206" i="1"/>
  <c r="B206" i="1"/>
  <c r="R205" i="1"/>
  <c r="Q205" i="1"/>
  <c r="P205" i="1"/>
  <c r="O205" i="1"/>
  <c r="N205" i="1"/>
  <c r="M205" i="1"/>
  <c r="L205" i="1"/>
  <c r="K205" i="1"/>
  <c r="G205" i="1"/>
  <c r="E205" i="1"/>
  <c r="D205" i="1"/>
  <c r="C205" i="1"/>
  <c r="B205" i="1"/>
  <c r="R204" i="1"/>
  <c r="Q204" i="1"/>
  <c r="P204" i="1"/>
  <c r="O204" i="1"/>
  <c r="N204" i="1"/>
  <c r="M204" i="1"/>
  <c r="L204" i="1"/>
  <c r="K204" i="1"/>
  <c r="G204" i="1"/>
  <c r="E204" i="1"/>
  <c r="D204" i="1"/>
  <c r="C204" i="1"/>
  <c r="B204" i="1"/>
  <c r="R203" i="1"/>
  <c r="Q203" i="1"/>
  <c r="P203" i="1"/>
  <c r="O203" i="1"/>
  <c r="N203" i="1"/>
  <c r="M203" i="1"/>
  <c r="L203" i="1"/>
  <c r="K203" i="1"/>
  <c r="G203" i="1"/>
  <c r="E203" i="1"/>
  <c r="D203" i="1"/>
  <c r="C203" i="1"/>
  <c r="B203" i="1"/>
  <c r="R202" i="1"/>
  <c r="Q202" i="1"/>
  <c r="P202" i="1"/>
  <c r="O202" i="1"/>
  <c r="N202" i="1"/>
  <c r="M202" i="1"/>
  <c r="L202" i="1"/>
  <c r="K202" i="1"/>
  <c r="G202" i="1"/>
  <c r="E202" i="1"/>
  <c r="D202" i="1"/>
  <c r="C202" i="1"/>
  <c r="B202" i="1"/>
  <c r="R201" i="1"/>
  <c r="Q201" i="1"/>
  <c r="P201" i="1"/>
  <c r="O201" i="1"/>
  <c r="N201" i="1"/>
  <c r="M201" i="1"/>
  <c r="L201" i="1"/>
  <c r="K201" i="1"/>
  <c r="G201" i="1"/>
  <c r="E201" i="1"/>
  <c r="D201" i="1"/>
  <c r="C201" i="1"/>
  <c r="B201" i="1"/>
  <c r="R200" i="1"/>
  <c r="Q200" i="1"/>
  <c r="P200" i="1"/>
  <c r="O200" i="1"/>
  <c r="N200" i="1"/>
  <c r="M200" i="1"/>
  <c r="L200" i="1"/>
  <c r="K200" i="1"/>
  <c r="G200" i="1"/>
  <c r="E200" i="1"/>
  <c r="D200" i="1"/>
  <c r="C200" i="1"/>
  <c r="B200" i="1"/>
  <c r="R199" i="1"/>
  <c r="Q199" i="1"/>
  <c r="P199" i="1"/>
  <c r="O199" i="1"/>
  <c r="N199" i="1"/>
  <c r="M199" i="1"/>
  <c r="L199" i="1"/>
  <c r="K199" i="1"/>
  <c r="G199" i="1"/>
  <c r="E199" i="1"/>
  <c r="D199" i="1"/>
  <c r="C199" i="1"/>
  <c r="B199" i="1"/>
  <c r="R198" i="1"/>
  <c r="Q198" i="1"/>
  <c r="P198" i="1"/>
  <c r="O198" i="1"/>
  <c r="N198" i="1"/>
  <c r="M198" i="1"/>
  <c r="L198" i="1"/>
  <c r="K198" i="1"/>
  <c r="G198" i="1"/>
  <c r="E198" i="1"/>
  <c r="D198" i="1"/>
  <c r="C198" i="1"/>
  <c r="B198" i="1"/>
  <c r="R197" i="1"/>
  <c r="Q197" i="1"/>
  <c r="P197" i="1"/>
  <c r="O197" i="1"/>
  <c r="N197" i="1"/>
  <c r="M197" i="1"/>
  <c r="L197" i="1"/>
  <c r="K197" i="1"/>
  <c r="G197" i="1"/>
  <c r="E197" i="1"/>
  <c r="D197" i="1"/>
  <c r="C197" i="1"/>
  <c r="B197" i="1"/>
  <c r="R196" i="1"/>
  <c r="Q196" i="1"/>
  <c r="P196" i="1"/>
  <c r="O196" i="1"/>
  <c r="N196" i="1"/>
  <c r="M196" i="1"/>
  <c r="L196" i="1"/>
  <c r="K196" i="1"/>
  <c r="G196" i="1"/>
  <c r="E196" i="1"/>
  <c r="D196" i="1"/>
  <c r="C196" i="1"/>
  <c r="B196" i="1"/>
  <c r="R185" i="1"/>
  <c r="Q185" i="1"/>
  <c r="P185" i="1"/>
  <c r="O185" i="1"/>
  <c r="N185" i="1"/>
  <c r="M185" i="1"/>
  <c r="L185" i="1"/>
  <c r="K185" i="1"/>
  <c r="G185" i="1"/>
  <c r="E185" i="1"/>
  <c r="D185" i="1"/>
  <c r="C185" i="1"/>
  <c r="B185" i="1"/>
  <c r="R184" i="1"/>
  <c r="Q184" i="1"/>
  <c r="P184" i="1"/>
  <c r="O184" i="1"/>
  <c r="N184" i="1"/>
  <c r="M184" i="1"/>
  <c r="L184" i="1"/>
  <c r="K184" i="1"/>
  <c r="G184" i="1"/>
  <c r="E184" i="1"/>
  <c r="D184" i="1"/>
  <c r="C184" i="1"/>
  <c r="B184" i="1"/>
  <c r="R183" i="1"/>
  <c r="Q183" i="1"/>
  <c r="P183" i="1"/>
  <c r="O183" i="1"/>
  <c r="N183" i="1"/>
  <c r="M183" i="1"/>
  <c r="L183" i="1"/>
  <c r="K183" i="1"/>
  <c r="G183" i="1"/>
  <c r="E183" i="1"/>
  <c r="D183" i="1"/>
  <c r="C183" i="1"/>
  <c r="B183" i="1"/>
  <c r="R182" i="1"/>
  <c r="Q182" i="1"/>
  <c r="P182" i="1"/>
  <c r="O182" i="1"/>
  <c r="N182" i="1"/>
  <c r="M182" i="1"/>
  <c r="L182" i="1"/>
  <c r="K182" i="1"/>
  <c r="G182" i="1"/>
  <c r="E182" i="1"/>
  <c r="D182" i="1"/>
  <c r="C182" i="1"/>
  <c r="B182" i="1"/>
  <c r="R181" i="1"/>
  <c r="Q181" i="1"/>
  <c r="P181" i="1"/>
  <c r="O181" i="1"/>
  <c r="N181" i="1"/>
  <c r="M181" i="1"/>
  <c r="L181" i="1"/>
  <c r="K181" i="1"/>
  <c r="G181" i="1"/>
  <c r="E181" i="1"/>
  <c r="D181" i="1"/>
  <c r="C181" i="1"/>
  <c r="B181" i="1"/>
  <c r="R180" i="1"/>
  <c r="Q180" i="1"/>
  <c r="P180" i="1"/>
  <c r="O180" i="1"/>
  <c r="N180" i="1"/>
  <c r="M180" i="1"/>
  <c r="L180" i="1"/>
  <c r="K180" i="1"/>
  <c r="G180" i="1"/>
  <c r="E180" i="1"/>
  <c r="D180" i="1"/>
  <c r="C180" i="1"/>
  <c r="B180" i="1"/>
  <c r="R179" i="1"/>
  <c r="Q179" i="1"/>
  <c r="P179" i="1"/>
  <c r="O179" i="1"/>
  <c r="N179" i="1"/>
  <c r="M179" i="1"/>
  <c r="L179" i="1"/>
  <c r="K179" i="1"/>
  <c r="G179" i="1"/>
  <c r="E179" i="1"/>
  <c r="D179" i="1"/>
  <c r="C179" i="1"/>
  <c r="B179" i="1"/>
  <c r="R178" i="1"/>
  <c r="Q178" i="1"/>
  <c r="P178" i="1"/>
  <c r="O178" i="1"/>
  <c r="N178" i="1"/>
  <c r="M178" i="1"/>
  <c r="L178" i="1"/>
  <c r="K178" i="1"/>
  <c r="G178" i="1"/>
  <c r="E178" i="1"/>
  <c r="D178" i="1"/>
  <c r="C178" i="1"/>
  <c r="B178" i="1"/>
  <c r="R177" i="1"/>
  <c r="Q177" i="1"/>
  <c r="P177" i="1"/>
  <c r="O177" i="1"/>
  <c r="N177" i="1"/>
  <c r="M177" i="1"/>
  <c r="L177" i="1"/>
  <c r="K177" i="1"/>
  <c r="G177" i="1"/>
  <c r="E177" i="1"/>
  <c r="D177" i="1"/>
  <c r="C177" i="1"/>
  <c r="B177" i="1"/>
  <c r="R176" i="1"/>
  <c r="Q176" i="1"/>
  <c r="P176" i="1"/>
  <c r="O176" i="1"/>
  <c r="N176" i="1"/>
  <c r="M176" i="1"/>
  <c r="L176" i="1"/>
  <c r="K176" i="1"/>
  <c r="G176" i="1"/>
  <c r="E176" i="1"/>
  <c r="D176" i="1"/>
  <c r="C176" i="1"/>
  <c r="B176" i="1"/>
  <c r="R175" i="1"/>
  <c r="Q175" i="1"/>
  <c r="P175" i="1"/>
  <c r="O175" i="1"/>
  <c r="N175" i="1"/>
  <c r="M175" i="1"/>
  <c r="L175" i="1"/>
  <c r="K175" i="1"/>
  <c r="G175" i="1"/>
  <c r="E175" i="1"/>
  <c r="D175" i="1"/>
  <c r="C175" i="1"/>
  <c r="B175" i="1"/>
  <c r="R174" i="1"/>
  <c r="Q174" i="1"/>
  <c r="P174" i="1"/>
  <c r="O174" i="1"/>
  <c r="N174" i="1"/>
  <c r="M174" i="1"/>
  <c r="L174" i="1"/>
  <c r="K174" i="1"/>
  <c r="G174" i="1"/>
  <c r="E174" i="1"/>
  <c r="D174" i="1"/>
  <c r="C174" i="1"/>
  <c r="B174" i="1"/>
  <c r="D310" i="1"/>
  <c r="G314" i="1"/>
  <c r="K314" i="1"/>
  <c r="L314" i="1"/>
  <c r="M314" i="1"/>
  <c r="N314" i="1"/>
  <c r="Q314" i="1"/>
  <c r="R314" i="1"/>
  <c r="G316" i="1"/>
  <c r="K316" i="1"/>
  <c r="L316" i="1"/>
  <c r="M316" i="1"/>
  <c r="N316" i="1"/>
  <c r="Q316" i="1"/>
  <c r="R316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B336" i="1"/>
  <c r="C336" i="1"/>
  <c r="D336" i="1"/>
  <c r="E336" i="1"/>
  <c r="G336" i="1"/>
  <c r="K336" i="1"/>
  <c r="L336" i="1"/>
  <c r="M336" i="1"/>
  <c r="N336" i="1"/>
  <c r="O336" i="1"/>
  <c r="P336" i="1"/>
  <c r="Q336" i="1"/>
  <c r="R336" i="1"/>
  <c r="B337" i="1"/>
  <c r="C337" i="1"/>
  <c r="D337" i="1"/>
  <c r="E337" i="1"/>
  <c r="G337" i="1"/>
  <c r="K337" i="1"/>
  <c r="L337" i="1"/>
  <c r="M337" i="1"/>
  <c r="N337" i="1"/>
  <c r="O337" i="1"/>
  <c r="P337" i="1"/>
  <c r="Q337" i="1"/>
  <c r="R337" i="1"/>
  <c r="B338" i="1"/>
  <c r="C338" i="1"/>
  <c r="D338" i="1"/>
  <c r="E338" i="1"/>
  <c r="G338" i="1"/>
  <c r="K338" i="1"/>
  <c r="L338" i="1"/>
  <c r="M338" i="1"/>
  <c r="N338" i="1"/>
  <c r="O338" i="1"/>
  <c r="P338" i="1"/>
  <c r="Q338" i="1"/>
  <c r="R338" i="1"/>
  <c r="B339" i="1"/>
  <c r="C339" i="1"/>
  <c r="D339" i="1"/>
  <c r="E339" i="1"/>
  <c r="G339" i="1"/>
  <c r="K339" i="1"/>
  <c r="L339" i="1"/>
  <c r="M339" i="1"/>
  <c r="N339" i="1"/>
  <c r="O339" i="1"/>
  <c r="P339" i="1"/>
  <c r="Q339" i="1"/>
  <c r="R339" i="1"/>
  <c r="B340" i="1"/>
  <c r="C340" i="1"/>
  <c r="D340" i="1"/>
  <c r="E340" i="1"/>
  <c r="G340" i="1"/>
  <c r="K340" i="1"/>
  <c r="L340" i="1"/>
  <c r="M340" i="1"/>
  <c r="N340" i="1"/>
  <c r="O340" i="1"/>
  <c r="P340" i="1"/>
  <c r="Q340" i="1"/>
  <c r="R340" i="1"/>
  <c r="B341" i="1"/>
  <c r="C341" i="1"/>
  <c r="D341" i="1"/>
  <c r="E341" i="1"/>
  <c r="G341" i="1"/>
  <c r="K341" i="1"/>
  <c r="L341" i="1"/>
  <c r="M341" i="1"/>
  <c r="N341" i="1"/>
  <c r="O341" i="1"/>
  <c r="P341" i="1"/>
  <c r="Q341" i="1"/>
  <c r="R341" i="1"/>
  <c r="B342" i="1"/>
  <c r="C342" i="1"/>
  <c r="D342" i="1"/>
  <c r="E342" i="1"/>
  <c r="G342" i="1"/>
  <c r="K342" i="1"/>
  <c r="L342" i="1"/>
  <c r="M342" i="1"/>
  <c r="N342" i="1"/>
  <c r="O342" i="1"/>
  <c r="P342" i="1"/>
  <c r="Q342" i="1"/>
  <c r="R342" i="1"/>
  <c r="B351" i="1"/>
  <c r="C351" i="1"/>
  <c r="D351" i="1"/>
  <c r="E351" i="1"/>
  <c r="G351" i="1"/>
  <c r="K351" i="1"/>
  <c r="L351" i="1"/>
  <c r="M351" i="1"/>
  <c r="N351" i="1"/>
  <c r="O351" i="1"/>
  <c r="P351" i="1"/>
  <c r="Q351" i="1"/>
  <c r="R351" i="1"/>
  <c r="B352" i="1"/>
  <c r="C352" i="1"/>
  <c r="D352" i="1"/>
  <c r="E352" i="1"/>
  <c r="G352" i="1"/>
  <c r="K352" i="1"/>
  <c r="L352" i="1"/>
  <c r="M352" i="1"/>
  <c r="N352" i="1"/>
  <c r="O352" i="1"/>
  <c r="P352" i="1"/>
  <c r="Q352" i="1"/>
  <c r="R352" i="1"/>
  <c r="B353" i="1"/>
  <c r="C353" i="1"/>
  <c r="D353" i="1"/>
  <c r="E353" i="1"/>
  <c r="G353" i="1"/>
  <c r="K353" i="1"/>
  <c r="L353" i="1"/>
  <c r="M353" i="1"/>
  <c r="N353" i="1"/>
  <c r="O353" i="1"/>
  <c r="P353" i="1"/>
  <c r="Q353" i="1"/>
  <c r="R353" i="1"/>
  <c r="B354" i="1"/>
  <c r="C354" i="1"/>
  <c r="D354" i="1"/>
  <c r="E354" i="1"/>
  <c r="G354" i="1"/>
  <c r="K354" i="1"/>
  <c r="L354" i="1"/>
  <c r="M354" i="1"/>
  <c r="N354" i="1"/>
  <c r="O354" i="1"/>
  <c r="P354" i="1"/>
  <c r="Q354" i="1"/>
  <c r="R354" i="1"/>
  <c r="B355" i="1"/>
  <c r="C355" i="1"/>
  <c r="D355" i="1"/>
  <c r="E355" i="1"/>
  <c r="G355" i="1"/>
  <c r="K355" i="1"/>
  <c r="L355" i="1"/>
  <c r="M355" i="1"/>
  <c r="N355" i="1"/>
  <c r="O355" i="1"/>
  <c r="P355" i="1"/>
  <c r="Q355" i="1"/>
  <c r="R355" i="1"/>
  <c r="B356" i="1"/>
  <c r="C356" i="1"/>
  <c r="D356" i="1"/>
  <c r="E356" i="1"/>
  <c r="G356" i="1"/>
  <c r="K356" i="1"/>
  <c r="L356" i="1"/>
  <c r="M356" i="1"/>
  <c r="N356" i="1"/>
  <c r="O356" i="1"/>
  <c r="P356" i="1"/>
  <c r="Q356" i="1"/>
  <c r="R356" i="1"/>
  <c r="B357" i="1"/>
  <c r="C357" i="1"/>
  <c r="D357" i="1"/>
  <c r="E357" i="1"/>
  <c r="G357" i="1"/>
  <c r="K357" i="1"/>
  <c r="L357" i="1"/>
  <c r="M357" i="1"/>
  <c r="N357" i="1"/>
  <c r="O357" i="1"/>
  <c r="P357" i="1"/>
  <c r="Q357" i="1"/>
  <c r="R357" i="1"/>
  <c r="B358" i="1"/>
  <c r="C358" i="1"/>
  <c r="D358" i="1"/>
  <c r="E358" i="1"/>
  <c r="G358" i="1"/>
  <c r="K358" i="1"/>
  <c r="L358" i="1"/>
  <c r="M358" i="1"/>
  <c r="N358" i="1"/>
  <c r="O358" i="1"/>
  <c r="P358" i="1"/>
  <c r="Q358" i="1"/>
  <c r="R358" i="1"/>
  <c r="B359" i="1"/>
  <c r="C359" i="1"/>
  <c r="D359" i="1"/>
  <c r="E359" i="1"/>
  <c r="G359" i="1"/>
  <c r="K359" i="1"/>
  <c r="L359" i="1"/>
  <c r="M359" i="1"/>
  <c r="N359" i="1"/>
  <c r="O359" i="1"/>
  <c r="P359" i="1"/>
  <c r="Q359" i="1"/>
  <c r="R359" i="1"/>
  <c r="B360" i="1"/>
  <c r="C360" i="1"/>
  <c r="D360" i="1"/>
  <c r="E360" i="1"/>
  <c r="G360" i="1"/>
  <c r="K360" i="1"/>
  <c r="L360" i="1"/>
  <c r="M360" i="1"/>
  <c r="N360" i="1"/>
  <c r="O360" i="1"/>
  <c r="P360" i="1"/>
  <c r="Q360" i="1"/>
  <c r="R360" i="1"/>
  <c r="B361" i="1"/>
  <c r="C361" i="1"/>
  <c r="D361" i="1"/>
  <c r="E361" i="1"/>
  <c r="G361" i="1"/>
  <c r="K361" i="1"/>
  <c r="L361" i="1"/>
  <c r="M361" i="1"/>
  <c r="N361" i="1"/>
  <c r="O361" i="1"/>
  <c r="P361" i="1"/>
  <c r="Q361" i="1"/>
  <c r="R361" i="1"/>
  <c r="B362" i="1"/>
  <c r="C362" i="1"/>
  <c r="D362" i="1"/>
  <c r="E362" i="1"/>
  <c r="G362" i="1"/>
  <c r="K362" i="1"/>
  <c r="L362" i="1"/>
  <c r="M362" i="1"/>
  <c r="N362" i="1"/>
  <c r="O362" i="1"/>
  <c r="P362" i="1"/>
  <c r="Q362" i="1"/>
  <c r="R362" i="1"/>
  <c r="B371" i="1"/>
  <c r="C371" i="1"/>
  <c r="D371" i="1"/>
  <c r="E371" i="1"/>
  <c r="G371" i="1"/>
  <c r="K371" i="1"/>
  <c r="L371" i="1"/>
  <c r="M371" i="1"/>
  <c r="N371" i="1"/>
  <c r="O371" i="1"/>
  <c r="P371" i="1"/>
  <c r="Q371" i="1"/>
  <c r="R371" i="1"/>
  <c r="B372" i="1"/>
  <c r="C372" i="1"/>
  <c r="D372" i="1"/>
  <c r="E372" i="1"/>
  <c r="G372" i="1"/>
  <c r="K372" i="1"/>
  <c r="L372" i="1"/>
  <c r="M372" i="1"/>
  <c r="N372" i="1"/>
  <c r="O372" i="1"/>
  <c r="P372" i="1"/>
  <c r="Q372" i="1"/>
  <c r="R372" i="1"/>
  <c r="B373" i="1"/>
  <c r="C373" i="1"/>
  <c r="D373" i="1"/>
  <c r="E373" i="1"/>
  <c r="G373" i="1"/>
  <c r="K373" i="1"/>
  <c r="L373" i="1"/>
  <c r="M373" i="1"/>
  <c r="N373" i="1"/>
  <c r="O373" i="1"/>
  <c r="P373" i="1"/>
  <c r="Q373" i="1"/>
  <c r="R373" i="1"/>
  <c r="B374" i="1"/>
  <c r="C374" i="1"/>
  <c r="D374" i="1"/>
  <c r="E374" i="1"/>
  <c r="G374" i="1"/>
  <c r="K374" i="1"/>
  <c r="L374" i="1"/>
  <c r="M374" i="1"/>
  <c r="N374" i="1"/>
  <c r="O374" i="1"/>
  <c r="P374" i="1"/>
  <c r="Q374" i="1"/>
  <c r="R374" i="1"/>
  <c r="B375" i="1"/>
  <c r="C375" i="1"/>
  <c r="D375" i="1"/>
  <c r="E375" i="1"/>
  <c r="G375" i="1"/>
  <c r="K375" i="1"/>
  <c r="L375" i="1"/>
  <c r="M375" i="1"/>
  <c r="N375" i="1"/>
  <c r="O375" i="1"/>
  <c r="P375" i="1"/>
  <c r="Q375" i="1"/>
  <c r="R375" i="1"/>
  <c r="B376" i="1"/>
  <c r="C376" i="1"/>
  <c r="D376" i="1"/>
  <c r="E376" i="1"/>
  <c r="G376" i="1"/>
  <c r="K376" i="1"/>
  <c r="L376" i="1"/>
  <c r="M376" i="1"/>
  <c r="N376" i="1"/>
  <c r="O376" i="1"/>
  <c r="P376" i="1"/>
  <c r="Q376" i="1"/>
  <c r="R376" i="1"/>
  <c r="B385" i="1"/>
  <c r="C385" i="1"/>
  <c r="D385" i="1"/>
  <c r="E385" i="1"/>
  <c r="G385" i="1"/>
  <c r="K385" i="1"/>
  <c r="L385" i="1"/>
  <c r="M385" i="1"/>
  <c r="N385" i="1"/>
  <c r="O385" i="1"/>
  <c r="P385" i="1"/>
  <c r="Q385" i="1"/>
  <c r="R385" i="1"/>
  <c r="B386" i="1"/>
  <c r="C386" i="1"/>
  <c r="D386" i="1"/>
  <c r="E386" i="1"/>
  <c r="G386" i="1"/>
  <c r="K386" i="1"/>
  <c r="L386" i="1"/>
  <c r="M386" i="1"/>
  <c r="N386" i="1"/>
  <c r="O386" i="1"/>
  <c r="P386" i="1"/>
  <c r="Q386" i="1"/>
  <c r="R386" i="1"/>
  <c r="B387" i="1"/>
  <c r="C387" i="1"/>
  <c r="D387" i="1"/>
  <c r="E387" i="1"/>
  <c r="G387" i="1"/>
  <c r="K387" i="1"/>
  <c r="L387" i="1"/>
  <c r="M387" i="1"/>
  <c r="N387" i="1"/>
  <c r="O387" i="1"/>
  <c r="P387" i="1"/>
  <c r="Q387" i="1"/>
  <c r="R387" i="1"/>
  <c r="B388" i="1"/>
  <c r="C388" i="1"/>
  <c r="D388" i="1"/>
  <c r="E388" i="1"/>
  <c r="G388" i="1"/>
  <c r="K388" i="1"/>
  <c r="L388" i="1"/>
  <c r="M388" i="1"/>
  <c r="N388" i="1"/>
  <c r="O388" i="1"/>
  <c r="P388" i="1"/>
  <c r="Q388" i="1"/>
  <c r="R388" i="1"/>
  <c r="B389" i="1"/>
  <c r="C389" i="1"/>
  <c r="D389" i="1"/>
  <c r="E389" i="1"/>
  <c r="G389" i="1"/>
  <c r="K389" i="1"/>
  <c r="L389" i="1"/>
  <c r="M389" i="1"/>
  <c r="N389" i="1"/>
  <c r="O389" i="1"/>
  <c r="P389" i="1"/>
  <c r="Q389" i="1"/>
  <c r="R389" i="1"/>
  <c r="B390" i="1"/>
  <c r="C390" i="1"/>
  <c r="D390" i="1"/>
  <c r="E390" i="1"/>
  <c r="G390" i="1"/>
  <c r="K390" i="1"/>
  <c r="L390" i="1"/>
  <c r="M390" i="1"/>
  <c r="N390" i="1"/>
  <c r="O390" i="1"/>
  <c r="P390" i="1"/>
  <c r="Q390" i="1"/>
  <c r="R390" i="1"/>
  <c r="B391" i="1"/>
  <c r="C391" i="1"/>
  <c r="D391" i="1"/>
  <c r="E391" i="1"/>
  <c r="G391" i="1"/>
  <c r="K391" i="1"/>
  <c r="L391" i="1"/>
  <c r="M391" i="1"/>
  <c r="N391" i="1"/>
  <c r="O391" i="1"/>
  <c r="P391" i="1"/>
  <c r="Q391" i="1"/>
  <c r="R391" i="1"/>
  <c r="B392" i="1"/>
  <c r="C392" i="1"/>
  <c r="D392" i="1"/>
  <c r="E392" i="1"/>
  <c r="G392" i="1"/>
  <c r="K392" i="1"/>
  <c r="L392" i="1"/>
  <c r="M392" i="1"/>
  <c r="N392" i="1"/>
  <c r="O392" i="1"/>
  <c r="P392" i="1"/>
  <c r="Q392" i="1"/>
  <c r="R392" i="1"/>
  <c r="B393" i="1"/>
  <c r="C393" i="1"/>
  <c r="D393" i="1"/>
  <c r="E393" i="1"/>
  <c r="G393" i="1"/>
  <c r="K393" i="1"/>
  <c r="L393" i="1"/>
  <c r="M393" i="1"/>
  <c r="N393" i="1"/>
  <c r="O393" i="1"/>
  <c r="P393" i="1"/>
  <c r="Q393" i="1"/>
  <c r="R393" i="1"/>
  <c r="B394" i="1"/>
  <c r="C394" i="1"/>
  <c r="D394" i="1"/>
  <c r="E394" i="1"/>
  <c r="G394" i="1"/>
  <c r="K394" i="1"/>
  <c r="L394" i="1"/>
  <c r="M394" i="1"/>
  <c r="N394" i="1"/>
  <c r="O394" i="1"/>
  <c r="P394" i="1"/>
  <c r="Q394" i="1"/>
  <c r="R394" i="1"/>
  <c r="B395" i="1"/>
  <c r="C395" i="1"/>
  <c r="D395" i="1"/>
  <c r="E395" i="1"/>
  <c r="G395" i="1"/>
  <c r="K395" i="1"/>
  <c r="L395" i="1"/>
  <c r="M395" i="1"/>
  <c r="N395" i="1"/>
  <c r="O395" i="1"/>
  <c r="P395" i="1"/>
  <c r="Q395" i="1"/>
  <c r="R395" i="1"/>
  <c r="B396" i="1"/>
  <c r="C396" i="1"/>
  <c r="D396" i="1"/>
  <c r="E396" i="1"/>
  <c r="G396" i="1"/>
  <c r="K396" i="1"/>
  <c r="L396" i="1"/>
  <c r="M396" i="1"/>
  <c r="N396" i="1"/>
  <c r="O396" i="1"/>
  <c r="P396" i="1"/>
  <c r="Q396" i="1"/>
  <c r="R396" i="1"/>
  <c r="B397" i="1"/>
  <c r="C397" i="1"/>
  <c r="D397" i="1"/>
  <c r="E397" i="1"/>
  <c r="G397" i="1"/>
  <c r="K397" i="1"/>
  <c r="L397" i="1"/>
  <c r="M397" i="1"/>
  <c r="N397" i="1"/>
  <c r="O397" i="1"/>
  <c r="P397" i="1"/>
  <c r="Q397" i="1"/>
  <c r="R397" i="1"/>
  <c r="B398" i="1"/>
  <c r="C398" i="1"/>
  <c r="D398" i="1"/>
  <c r="E398" i="1"/>
  <c r="G398" i="1"/>
  <c r="K398" i="1"/>
  <c r="L398" i="1"/>
  <c r="M398" i="1"/>
  <c r="N398" i="1"/>
  <c r="O398" i="1"/>
  <c r="P398" i="1"/>
  <c r="Q398" i="1"/>
  <c r="R398" i="1"/>
  <c r="B399" i="1"/>
  <c r="C399" i="1"/>
  <c r="D399" i="1"/>
  <c r="E399" i="1"/>
  <c r="G399" i="1"/>
  <c r="K399" i="1"/>
  <c r="L399" i="1"/>
  <c r="M399" i="1"/>
  <c r="N399" i="1"/>
  <c r="O399" i="1"/>
  <c r="P399" i="1"/>
  <c r="Q399" i="1"/>
  <c r="R399" i="1"/>
  <c r="B400" i="1"/>
  <c r="C400" i="1"/>
  <c r="D400" i="1"/>
  <c r="E400" i="1"/>
  <c r="G400" i="1"/>
  <c r="K400" i="1"/>
  <c r="L400" i="1"/>
  <c r="M400" i="1"/>
  <c r="N400" i="1"/>
  <c r="O400" i="1"/>
  <c r="P400" i="1"/>
  <c r="Q400" i="1"/>
  <c r="R400" i="1"/>
  <c r="B401" i="1"/>
  <c r="C401" i="1"/>
  <c r="D401" i="1"/>
  <c r="E401" i="1"/>
  <c r="G401" i="1"/>
  <c r="K401" i="1"/>
  <c r="L401" i="1"/>
  <c r="M401" i="1"/>
  <c r="N401" i="1"/>
  <c r="O401" i="1"/>
  <c r="P401" i="1"/>
  <c r="Q401" i="1"/>
  <c r="R401" i="1"/>
  <c r="B402" i="1"/>
  <c r="C402" i="1"/>
  <c r="D402" i="1"/>
  <c r="E402" i="1"/>
  <c r="G402" i="1"/>
  <c r="K402" i="1"/>
  <c r="L402" i="1"/>
  <c r="M402" i="1"/>
  <c r="N402" i="1"/>
  <c r="O402" i="1"/>
  <c r="P402" i="1"/>
  <c r="Q402" i="1"/>
  <c r="R402" i="1"/>
  <c r="B403" i="1"/>
  <c r="C403" i="1"/>
  <c r="D403" i="1"/>
  <c r="E403" i="1"/>
  <c r="G403" i="1"/>
  <c r="K403" i="1"/>
  <c r="L403" i="1"/>
  <c r="M403" i="1"/>
  <c r="N403" i="1"/>
  <c r="O403" i="1"/>
  <c r="P403" i="1"/>
  <c r="Q403" i="1"/>
  <c r="R403" i="1"/>
  <c r="B404" i="1"/>
  <c r="C404" i="1"/>
  <c r="D404" i="1"/>
  <c r="E404" i="1"/>
  <c r="G404" i="1"/>
  <c r="K404" i="1"/>
  <c r="L404" i="1"/>
  <c r="M404" i="1"/>
  <c r="N404" i="1"/>
  <c r="O404" i="1"/>
  <c r="P404" i="1"/>
  <c r="Q404" i="1"/>
  <c r="R404" i="1"/>
  <c r="B405" i="1"/>
  <c r="C405" i="1"/>
  <c r="D405" i="1"/>
  <c r="E405" i="1"/>
  <c r="G405" i="1"/>
  <c r="K405" i="1"/>
  <c r="L405" i="1"/>
  <c r="M405" i="1"/>
  <c r="N405" i="1"/>
  <c r="O405" i="1"/>
  <c r="P405" i="1"/>
  <c r="Q405" i="1"/>
  <c r="R405" i="1"/>
  <c r="B406" i="1"/>
  <c r="C406" i="1"/>
  <c r="D406" i="1"/>
  <c r="E406" i="1"/>
  <c r="G406" i="1"/>
  <c r="K406" i="1"/>
  <c r="L406" i="1"/>
  <c r="M406" i="1"/>
  <c r="N406" i="1"/>
  <c r="O406" i="1"/>
  <c r="P406" i="1"/>
  <c r="Q406" i="1"/>
  <c r="R406" i="1"/>
  <c r="B407" i="1"/>
  <c r="C407" i="1"/>
  <c r="D407" i="1"/>
  <c r="E407" i="1"/>
  <c r="G407" i="1"/>
  <c r="K407" i="1"/>
  <c r="L407" i="1"/>
  <c r="M407" i="1"/>
  <c r="N407" i="1"/>
  <c r="O407" i="1"/>
  <c r="P407" i="1"/>
  <c r="Q407" i="1"/>
  <c r="R407" i="1"/>
  <c r="B408" i="1"/>
  <c r="C408" i="1"/>
  <c r="D408" i="1"/>
  <c r="E408" i="1"/>
  <c r="G408" i="1"/>
  <c r="K408" i="1"/>
  <c r="L408" i="1"/>
  <c r="M408" i="1"/>
  <c r="N408" i="1"/>
  <c r="O408" i="1"/>
  <c r="P408" i="1"/>
  <c r="Q408" i="1"/>
  <c r="R408" i="1"/>
  <c r="B409" i="1"/>
  <c r="C409" i="1"/>
  <c r="D409" i="1"/>
  <c r="E409" i="1"/>
  <c r="G409" i="1"/>
  <c r="K409" i="1"/>
  <c r="L409" i="1"/>
  <c r="M409" i="1"/>
  <c r="N409" i="1"/>
  <c r="O409" i="1"/>
  <c r="P409" i="1"/>
  <c r="Q409" i="1"/>
  <c r="R409" i="1"/>
  <c r="B418" i="1"/>
  <c r="C418" i="1"/>
  <c r="D418" i="1"/>
  <c r="E418" i="1"/>
  <c r="G418" i="1"/>
  <c r="K418" i="1"/>
  <c r="L418" i="1"/>
  <c r="M418" i="1"/>
  <c r="N418" i="1"/>
  <c r="O418" i="1"/>
  <c r="P418" i="1"/>
  <c r="Q418" i="1"/>
  <c r="R418" i="1"/>
  <c r="B419" i="1"/>
  <c r="C419" i="1"/>
  <c r="D419" i="1"/>
  <c r="E419" i="1"/>
  <c r="G419" i="1"/>
  <c r="K419" i="1"/>
  <c r="L419" i="1"/>
  <c r="M419" i="1"/>
  <c r="N419" i="1"/>
  <c r="O419" i="1"/>
  <c r="P419" i="1"/>
  <c r="Q419" i="1"/>
  <c r="R419" i="1"/>
  <c r="B420" i="1"/>
  <c r="C420" i="1"/>
  <c r="D420" i="1"/>
  <c r="E420" i="1"/>
  <c r="G420" i="1"/>
  <c r="K420" i="1"/>
  <c r="L420" i="1"/>
  <c r="M420" i="1"/>
  <c r="N420" i="1"/>
  <c r="O420" i="1"/>
  <c r="P420" i="1"/>
  <c r="Q420" i="1"/>
  <c r="R420" i="1"/>
  <c r="B421" i="1"/>
  <c r="C421" i="1"/>
  <c r="D421" i="1"/>
  <c r="E421" i="1"/>
  <c r="G421" i="1"/>
  <c r="K421" i="1"/>
  <c r="L421" i="1"/>
  <c r="M421" i="1"/>
  <c r="N421" i="1"/>
  <c r="O421" i="1"/>
  <c r="P421" i="1"/>
  <c r="Q421" i="1"/>
  <c r="R421" i="1"/>
  <c r="B422" i="1"/>
  <c r="C422" i="1"/>
  <c r="D422" i="1"/>
  <c r="E422" i="1"/>
  <c r="G422" i="1"/>
  <c r="K422" i="1"/>
  <c r="L422" i="1"/>
  <c r="M422" i="1"/>
  <c r="N422" i="1"/>
  <c r="O422" i="1"/>
  <c r="P422" i="1"/>
  <c r="Q422" i="1"/>
  <c r="R422" i="1"/>
  <c r="B423" i="1"/>
  <c r="C423" i="1"/>
  <c r="D423" i="1"/>
  <c r="E423" i="1"/>
  <c r="G423" i="1"/>
  <c r="K423" i="1"/>
  <c r="L423" i="1"/>
  <c r="M423" i="1"/>
  <c r="N423" i="1"/>
  <c r="O423" i="1"/>
  <c r="P423" i="1"/>
  <c r="Q423" i="1"/>
  <c r="R423" i="1"/>
  <c r="B424" i="1"/>
  <c r="C424" i="1"/>
  <c r="D424" i="1"/>
  <c r="E424" i="1"/>
  <c r="G424" i="1"/>
  <c r="K424" i="1"/>
  <c r="L424" i="1"/>
  <c r="M424" i="1"/>
  <c r="N424" i="1"/>
  <c r="O424" i="1"/>
  <c r="P424" i="1"/>
  <c r="Q424" i="1"/>
  <c r="R424" i="1"/>
  <c r="B425" i="1"/>
  <c r="C425" i="1"/>
  <c r="D425" i="1"/>
  <c r="E425" i="1"/>
  <c r="G425" i="1"/>
  <c r="K425" i="1"/>
  <c r="L425" i="1"/>
  <c r="M425" i="1"/>
  <c r="N425" i="1"/>
  <c r="O425" i="1"/>
  <c r="P425" i="1"/>
  <c r="Q425" i="1"/>
  <c r="R425" i="1"/>
  <c r="B434" i="1"/>
  <c r="C434" i="1"/>
  <c r="D434" i="1"/>
  <c r="E434" i="1"/>
  <c r="G434" i="1"/>
  <c r="K434" i="1"/>
  <c r="L434" i="1"/>
  <c r="M434" i="1"/>
  <c r="N434" i="1"/>
  <c r="O434" i="1"/>
  <c r="P434" i="1"/>
  <c r="Q434" i="1"/>
  <c r="R434" i="1"/>
  <c r="B435" i="1"/>
  <c r="C435" i="1"/>
  <c r="D435" i="1"/>
  <c r="E435" i="1"/>
  <c r="G435" i="1"/>
  <c r="K435" i="1"/>
  <c r="L435" i="1"/>
  <c r="M435" i="1"/>
  <c r="N435" i="1"/>
  <c r="O435" i="1"/>
  <c r="P435" i="1"/>
  <c r="Q435" i="1"/>
  <c r="R435" i="1"/>
  <c r="B436" i="1"/>
  <c r="C436" i="1"/>
  <c r="D436" i="1"/>
  <c r="E436" i="1"/>
  <c r="G436" i="1"/>
  <c r="K436" i="1"/>
  <c r="L436" i="1"/>
  <c r="M436" i="1"/>
  <c r="N436" i="1"/>
  <c r="O436" i="1"/>
  <c r="P436" i="1"/>
  <c r="Q436" i="1"/>
  <c r="R436" i="1"/>
  <c r="B437" i="1"/>
  <c r="C437" i="1"/>
  <c r="D437" i="1"/>
  <c r="E437" i="1"/>
  <c r="G437" i="1"/>
  <c r="K437" i="1"/>
  <c r="L437" i="1"/>
  <c r="M437" i="1"/>
  <c r="N437" i="1"/>
  <c r="O437" i="1"/>
  <c r="P437" i="1"/>
  <c r="Q437" i="1"/>
  <c r="R437" i="1"/>
  <c r="B438" i="1"/>
  <c r="C438" i="1"/>
  <c r="D438" i="1"/>
  <c r="E438" i="1"/>
  <c r="G438" i="1"/>
  <c r="K438" i="1"/>
  <c r="L438" i="1"/>
  <c r="M438" i="1"/>
  <c r="N438" i="1"/>
  <c r="O438" i="1"/>
  <c r="P438" i="1"/>
  <c r="Q438" i="1"/>
  <c r="R438" i="1"/>
  <c r="B439" i="1"/>
  <c r="C439" i="1"/>
  <c r="D439" i="1"/>
  <c r="E439" i="1"/>
  <c r="G439" i="1"/>
  <c r="K439" i="1"/>
  <c r="L439" i="1"/>
  <c r="M439" i="1"/>
  <c r="N439" i="1"/>
  <c r="O439" i="1"/>
  <c r="P439" i="1"/>
  <c r="Q439" i="1"/>
  <c r="R439" i="1"/>
  <c r="B448" i="1"/>
  <c r="C448" i="1"/>
  <c r="D448" i="1"/>
  <c r="E448" i="1"/>
  <c r="G448" i="1"/>
  <c r="K448" i="1"/>
  <c r="L448" i="1"/>
  <c r="M448" i="1"/>
  <c r="N448" i="1"/>
  <c r="O448" i="1"/>
  <c r="P448" i="1"/>
  <c r="Q448" i="1"/>
  <c r="R448" i="1"/>
  <c r="B449" i="1"/>
  <c r="C449" i="1"/>
  <c r="D449" i="1"/>
  <c r="E449" i="1"/>
  <c r="G449" i="1"/>
  <c r="K449" i="1"/>
  <c r="L449" i="1"/>
  <c r="M449" i="1"/>
  <c r="N449" i="1"/>
  <c r="O449" i="1"/>
  <c r="P449" i="1"/>
  <c r="Q449" i="1"/>
  <c r="R449" i="1"/>
  <c r="B450" i="1"/>
  <c r="C450" i="1"/>
  <c r="D450" i="1"/>
  <c r="E450" i="1"/>
  <c r="G450" i="1"/>
  <c r="K450" i="1"/>
  <c r="L450" i="1"/>
  <c r="M450" i="1"/>
  <c r="N450" i="1"/>
  <c r="O450" i="1"/>
  <c r="P450" i="1"/>
  <c r="Q450" i="1"/>
  <c r="R450" i="1"/>
  <c r="B451" i="1"/>
  <c r="C451" i="1"/>
  <c r="D451" i="1"/>
  <c r="E451" i="1"/>
  <c r="G451" i="1"/>
  <c r="K451" i="1"/>
  <c r="L451" i="1"/>
  <c r="M451" i="1"/>
  <c r="N451" i="1"/>
  <c r="O451" i="1"/>
  <c r="P451" i="1"/>
  <c r="Q451" i="1"/>
  <c r="R451" i="1"/>
  <c r="B452" i="1"/>
  <c r="C452" i="1"/>
  <c r="D452" i="1"/>
  <c r="E452" i="1"/>
  <c r="G452" i="1"/>
  <c r="K452" i="1"/>
  <c r="L452" i="1"/>
  <c r="M452" i="1"/>
  <c r="N452" i="1"/>
  <c r="O452" i="1"/>
  <c r="P452" i="1"/>
  <c r="Q452" i="1"/>
  <c r="R452" i="1"/>
  <c r="B453" i="1"/>
  <c r="C453" i="1"/>
  <c r="D453" i="1"/>
  <c r="E453" i="1"/>
  <c r="G453" i="1"/>
  <c r="K453" i="1"/>
  <c r="L453" i="1"/>
  <c r="M453" i="1"/>
  <c r="N453" i="1"/>
  <c r="O453" i="1"/>
  <c r="P453" i="1"/>
  <c r="Q453" i="1"/>
  <c r="R453" i="1"/>
  <c r="B454" i="1"/>
  <c r="C454" i="1"/>
  <c r="D454" i="1"/>
  <c r="E454" i="1"/>
  <c r="G454" i="1"/>
  <c r="K454" i="1"/>
  <c r="L454" i="1"/>
  <c r="M454" i="1"/>
  <c r="N454" i="1"/>
  <c r="O454" i="1"/>
  <c r="P454" i="1"/>
  <c r="Q454" i="1"/>
  <c r="R454" i="1"/>
  <c r="B455" i="1"/>
  <c r="C455" i="1"/>
  <c r="D455" i="1"/>
  <c r="E455" i="1"/>
  <c r="G455" i="1"/>
  <c r="K455" i="1"/>
  <c r="L455" i="1"/>
  <c r="M455" i="1"/>
  <c r="N455" i="1"/>
  <c r="O455" i="1"/>
  <c r="P455" i="1"/>
  <c r="Q455" i="1"/>
  <c r="R455" i="1"/>
  <c r="B456" i="1"/>
  <c r="C456" i="1"/>
  <c r="D456" i="1"/>
  <c r="E456" i="1"/>
  <c r="G456" i="1"/>
  <c r="K456" i="1"/>
  <c r="L456" i="1"/>
  <c r="M456" i="1"/>
  <c r="N456" i="1"/>
  <c r="O456" i="1"/>
  <c r="P456" i="1"/>
  <c r="Q456" i="1"/>
  <c r="R456" i="1"/>
  <c r="B457" i="1"/>
  <c r="C457" i="1"/>
  <c r="D457" i="1"/>
  <c r="E457" i="1"/>
  <c r="G457" i="1"/>
  <c r="K457" i="1"/>
  <c r="L457" i="1"/>
  <c r="M457" i="1"/>
  <c r="N457" i="1"/>
  <c r="O457" i="1"/>
  <c r="P457" i="1"/>
  <c r="Q457" i="1"/>
  <c r="R457" i="1"/>
  <c r="B466" i="1"/>
  <c r="C466" i="1"/>
  <c r="D466" i="1"/>
  <c r="E466" i="1"/>
  <c r="G466" i="1"/>
  <c r="K466" i="1"/>
  <c r="L466" i="1"/>
  <c r="M466" i="1"/>
  <c r="N466" i="1"/>
  <c r="O466" i="1"/>
  <c r="P466" i="1"/>
  <c r="Q466" i="1"/>
  <c r="R466" i="1"/>
  <c r="B467" i="1"/>
  <c r="C467" i="1"/>
  <c r="D467" i="1"/>
  <c r="E467" i="1"/>
  <c r="G467" i="1"/>
  <c r="K467" i="1"/>
  <c r="L467" i="1"/>
  <c r="M467" i="1"/>
  <c r="N467" i="1"/>
  <c r="O467" i="1"/>
  <c r="P467" i="1"/>
  <c r="Q467" i="1"/>
  <c r="R467" i="1"/>
  <c r="B468" i="1"/>
  <c r="C468" i="1"/>
  <c r="D468" i="1"/>
  <c r="E468" i="1"/>
  <c r="G468" i="1"/>
  <c r="K468" i="1"/>
  <c r="L468" i="1"/>
  <c r="M468" i="1"/>
  <c r="N468" i="1"/>
  <c r="O468" i="1"/>
  <c r="P468" i="1"/>
  <c r="Q468" i="1"/>
  <c r="R468" i="1"/>
  <c r="B469" i="1"/>
  <c r="C469" i="1"/>
  <c r="D469" i="1"/>
  <c r="E469" i="1"/>
  <c r="G469" i="1"/>
  <c r="K469" i="1"/>
  <c r="L469" i="1"/>
  <c r="M469" i="1"/>
  <c r="N469" i="1"/>
  <c r="O469" i="1"/>
  <c r="P469" i="1"/>
  <c r="Q469" i="1"/>
  <c r="R469" i="1"/>
  <c r="B470" i="1"/>
  <c r="C470" i="1"/>
  <c r="D470" i="1"/>
  <c r="E470" i="1"/>
  <c r="G470" i="1"/>
  <c r="K470" i="1"/>
  <c r="L470" i="1"/>
  <c r="M470" i="1"/>
  <c r="N470" i="1"/>
  <c r="O470" i="1"/>
  <c r="P470" i="1"/>
  <c r="Q470" i="1"/>
  <c r="R470" i="1"/>
  <c r="B471" i="1"/>
  <c r="C471" i="1"/>
  <c r="D471" i="1"/>
  <c r="E471" i="1"/>
  <c r="G471" i="1"/>
  <c r="K471" i="1"/>
  <c r="L471" i="1"/>
  <c r="M471" i="1"/>
  <c r="N471" i="1"/>
  <c r="O471" i="1"/>
  <c r="P471" i="1"/>
  <c r="Q471" i="1"/>
  <c r="R471" i="1"/>
  <c r="B472" i="1"/>
  <c r="C472" i="1"/>
  <c r="D472" i="1"/>
  <c r="E472" i="1"/>
  <c r="G472" i="1"/>
  <c r="K472" i="1"/>
  <c r="L472" i="1"/>
  <c r="M472" i="1"/>
  <c r="N472" i="1"/>
  <c r="O472" i="1"/>
  <c r="P472" i="1"/>
  <c r="Q472" i="1"/>
  <c r="R472" i="1"/>
  <c r="B481" i="1"/>
  <c r="C481" i="1"/>
  <c r="D481" i="1"/>
  <c r="E481" i="1"/>
  <c r="G481" i="1"/>
  <c r="K481" i="1"/>
  <c r="L481" i="1"/>
  <c r="M481" i="1"/>
  <c r="N481" i="1"/>
  <c r="O481" i="1"/>
  <c r="P481" i="1"/>
  <c r="Q481" i="1"/>
  <c r="R481" i="1"/>
  <c r="B482" i="1"/>
  <c r="C482" i="1"/>
  <c r="D482" i="1"/>
  <c r="E482" i="1"/>
  <c r="G482" i="1"/>
  <c r="K482" i="1"/>
  <c r="L482" i="1"/>
  <c r="M482" i="1"/>
  <c r="N482" i="1"/>
  <c r="O482" i="1"/>
  <c r="P482" i="1"/>
  <c r="Q482" i="1"/>
  <c r="R482" i="1"/>
  <c r="B483" i="1"/>
  <c r="C483" i="1"/>
  <c r="D483" i="1"/>
  <c r="E483" i="1"/>
  <c r="G483" i="1"/>
  <c r="K483" i="1"/>
  <c r="L483" i="1"/>
  <c r="M483" i="1"/>
  <c r="N483" i="1"/>
  <c r="O483" i="1"/>
  <c r="P483" i="1"/>
  <c r="Q483" i="1"/>
  <c r="R483" i="1"/>
  <c r="B484" i="1"/>
  <c r="C484" i="1"/>
  <c r="D484" i="1"/>
  <c r="E484" i="1"/>
  <c r="G484" i="1"/>
  <c r="K484" i="1"/>
  <c r="L484" i="1"/>
  <c r="M484" i="1"/>
  <c r="N484" i="1"/>
  <c r="O484" i="1"/>
  <c r="P484" i="1"/>
  <c r="Q484" i="1"/>
  <c r="R484" i="1"/>
  <c r="B485" i="1"/>
  <c r="C485" i="1"/>
  <c r="D485" i="1"/>
  <c r="E485" i="1"/>
  <c r="G485" i="1"/>
  <c r="K485" i="1"/>
  <c r="L485" i="1"/>
  <c r="M485" i="1"/>
  <c r="N485" i="1"/>
  <c r="O485" i="1"/>
  <c r="P485" i="1"/>
  <c r="Q485" i="1"/>
  <c r="R485" i="1"/>
  <c r="B486" i="1"/>
  <c r="C486" i="1"/>
  <c r="D486" i="1"/>
  <c r="E486" i="1"/>
  <c r="G486" i="1"/>
  <c r="K486" i="1"/>
  <c r="L486" i="1"/>
  <c r="M486" i="1"/>
  <c r="N486" i="1"/>
  <c r="O486" i="1"/>
  <c r="P486" i="1"/>
  <c r="Q486" i="1"/>
  <c r="R486" i="1"/>
  <c r="B487" i="1"/>
  <c r="C487" i="1"/>
  <c r="D487" i="1"/>
  <c r="E487" i="1"/>
  <c r="G487" i="1"/>
  <c r="K487" i="1"/>
  <c r="L487" i="1"/>
  <c r="M487" i="1"/>
  <c r="N487" i="1"/>
  <c r="O487" i="1"/>
  <c r="P487" i="1"/>
  <c r="Q487" i="1"/>
  <c r="R487" i="1"/>
  <c r="B488" i="1"/>
  <c r="C488" i="1"/>
  <c r="D488" i="1"/>
  <c r="E488" i="1"/>
  <c r="G488" i="1"/>
  <c r="K488" i="1"/>
  <c r="L488" i="1"/>
  <c r="M488" i="1"/>
  <c r="N488" i="1"/>
  <c r="O488" i="1"/>
  <c r="P488" i="1"/>
  <c r="Q488" i="1"/>
  <c r="R488" i="1"/>
  <c r="B489" i="1"/>
  <c r="C489" i="1"/>
  <c r="D489" i="1"/>
  <c r="E489" i="1"/>
  <c r="G489" i="1"/>
  <c r="K489" i="1"/>
  <c r="L489" i="1"/>
  <c r="M489" i="1"/>
  <c r="N489" i="1"/>
  <c r="O489" i="1"/>
  <c r="P489" i="1"/>
  <c r="Q489" i="1"/>
  <c r="R489" i="1"/>
  <c r="B490" i="1"/>
  <c r="C490" i="1"/>
  <c r="D490" i="1"/>
  <c r="E490" i="1"/>
  <c r="G490" i="1"/>
  <c r="K490" i="1"/>
  <c r="L490" i="1"/>
  <c r="M490" i="1"/>
  <c r="N490" i="1"/>
  <c r="O490" i="1"/>
  <c r="P490" i="1"/>
  <c r="Q490" i="1"/>
  <c r="R490" i="1"/>
  <c r="B499" i="1"/>
  <c r="C499" i="1"/>
  <c r="D499" i="1"/>
  <c r="E499" i="1"/>
  <c r="G499" i="1"/>
  <c r="K499" i="1"/>
  <c r="L499" i="1"/>
  <c r="M499" i="1"/>
  <c r="N499" i="1"/>
  <c r="O499" i="1"/>
  <c r="P499" i="1"/>
  <c r="Q499" i="1"/>
  <c r="R499" i="1"/>
  <c r="B500" i="1"/>
  <c r="C500" i="1"/>
  <c r="D500" i="1"/>
  <c r="E500" i="1"/>
  <c r="G500" i="1"/>
  <c r="K500" i="1"/>
  <c r="L500" i="1"/>
  <c r="M500" i="1"/>
  <c r="N500" i="1"/>
  <c r="O500" i="1"/>
  <c r="P500" i="1"/>
  <c r="Q500" i="1"/>
  <c r="R500" i="1"/>
  <c r="B501" i="1"/>
  <c r="C501" i="1"/>
  <c r="D501" i="1"/>
  <c r="E501" i="1"/>
  <c r="G501" i="1"/>
  <c r="K501" i="1"/>
  <c r="L501" i="1"/>
  <c r="M501" i="1"/>
  <c r="N501" i="1"/>
  <c r="O501" i="1"/>
  <c r="P501" i="1"/>
  <c r="Q501" i="1"/>
  <c r="R501" i="1"/>
  <c r="B502" i="1"/>
  <c r="C502" i="1"/>
  <c r="D502" i="1"/>
  <c r="E502" i="1"/>
  <c r="G502" i="1"/>
  <c r="K502" i="1"/>
  <c r="L502" i="1"/>
  <c r="M502" i="1"/>
  <c r="N502" i="1"/>
  <c r="O502" i="1"/>
  <c r="P502" i="1"/>
  <c r="Q502" i="1"/>
  <c r="R502" i="1"/>
  <c r="B503" i="1"/>
  <c r="C503" i="1"/>
  <c r="D503" i="1"/>
  <c r="E503" i="1"/>
  <c r="G503" i="1"/>
  <c r="K503" i="1"/>
  <c r="L503" i="1"/>
  <c r="M503" i="1"/>
  <c r="N503" i="1"/>
  <c r="O503" i="1"/>
  <c r="P503" i="1"/>
  <c r="Q503" i="1"/>
  <c r="R503" i="1"/>
  <c r="B504" i="1"/>
  <c r="C504" i="1"/>
  <c r="D504" i="1"/>
  <c r="E504" i="1"/>
  <c r="G504" i="1"/>
  <c r="K504" i="1"/>
  <c r="L504" i="1"/>
  <c r="M504" i="1"/>
  <c r="N504" i="1"/>
  <c r="O504" i="1"/>
  <c r="P504" i="1"/>
  <c r="Q504" i="1"/>
  <c r="R504" i="1"/>
  <c r="B505" i="1"/>
  <c r="C505" i="1"/>
  <c r="D505" i="1"/>
  <c r="E505" i="1"/>
  <c r="G505" i="1"/>
  <c r="K505" i="1"/>
  <c r="L505" i="1"/>
  <c r="M505" i="1"/>
  <c r="N505" i="1"/>
  <c r="O505" i="1"/>
  <c r="P505" i="1"/>
  <c r="Q505" i="1"/>
  <c r="R505" i="1"/>
  <c r="B506" i="1"/>
  <c r="C506" i="1"/>
  <c r="D506" i="1"/>
  <c r="E506" i="1"/>
  <c r="G506" i="1"/>
  <c r="K506" i="1"/>
  <c r="L506" i="1"/>
  <c r="M506" i="1"/>
  <c r="N506" i="1"/>
  <c r="O506" i="1"/>
  <c r="P506" i="1"/>
  <c r="Q506" i="1"/>
  <c r="R506" i="1"/>
  <c r="B507" i="1"/>
  <c r="C507" i="1"/>
  <c r="D507" i="1"/>
  <c r="E507" i="1"/>
  <c r="G507" i="1"/>
  <c r="K507" i="1"/>
  <c r="L507" i="1"/>
  <c r="M507" i="1"/>
  <c r="N507" i="1"/>
  <c r="O507" i="1"/>
  <c r="P507" i="1"/>
  <c r="Q507" i="1"/>
  <c r="R507" i="1"/>
  <c r="B508" i="1"/>
  <c r="C508" i="1"/>
  <c r="D508" i="1"/>
  <c r="E508" i="1"/>
  <c r="G508" i="1"/>
  <c r="K508" i="1"/>
  <c r="L508" i="1"/>
  <c r="M508" i="1"/>
  <c r="N508" i="1"/>
  <c r="O508" i="1"/>
  <c r="P508" i="1"/>
  <c r="Q508" i="1"/>
  <c r="R508" i="1"/>
  <c r="B509" i="1"/>
  <c r="C509" i="1"/>
  <c r="D509" i="1"/>
  <c r="E509" i="1"/>
  <c r="G509" i="1"/>
  <c r="K509" i="1"/>
  <c r="L509" i="1"/>
  <c r="M509" i="1"/>
  <c r="N509" i="1"/>
  <c r="O509" i="1"/>
  <c r="P509" i="1"/>
  <c r="Q509" i="1"/>
  <c r="R509" i="1"/>
  <c r="B518" i="1"/>
  <c r="C518" i="1"/>
  <c r="D518" i="1"/>
  <c r="E518" i="1"/>
  <c r="G518" i="1"/>
  <c r="K518" i="1"/>
  <c r="L518" i="1"/>
  <c r="M518" i="1"/>
  <c r="N518" i="1"/>
  <c r="O518" i="1"/>
  <c r="P518" i="1"/>
  <c r="Q518" i="1"/>
  <c r="R518" i="1"/>
  <c r="B519" i="1"/>
  <c r="C519" i="1"/>
  <c r="D519" i="1"/>
  <c r="E519" i="1"/>
  <c r="G519" i="1"/>
  <c r="K519" i="1"/>
  <c r="L519" i="1"/>
  <c r="M519" i="1"/>
  <c r="N519" i="1"/>
  <c r="O519" i="1"/>
  <c r="P519" i="1"/>
  <c r="Q519" i="1"/>
  <c r="R519" i="1"/>
  <c r="B520" i="1"/>
  <c r="C520" i="1"/>
  <c r="D520" i="1"/>
  <c r="E520" i="1"/>
  <c r="G520" i="1"/>
  <c r="K520" i="1"/>
  <c r="L520" i="1"/>
  <c r="M520" i="1"/>
  <c r="N520" i="1"/>
  <c r="O520" i="1"/>
  <c r="P520" i="1"/>
  <c r="Q520" i="1"/>
  <c r="R520" i="1"/>
  <c r="B521" i="1"/>
  <c r="C521" i="1"/>
  <c r="D521" i="1"/>
  <c r="E521" i="1"/>
  <c r="G521" i="1"/>
  <c r="K521" i="1"/>
  <c r="L521" i="1"/>
  <c r="M521" i="1"/>
  <c r="N521" i="1"/>
  <c r="O521" i="1"/>
  <c r="P521" i="1"/>
  <c r="Q521" i="1"/>
  <c r="R521" i="1"/>
  <c r="B530" i="1"/>
  <c r="C530" i="1"/>
  <c r="D530" i="1"/>
  <c r="E530" i="1"/>
  <c r="G530" i="1"/>
  <c r="K530" i="1"/>
  <c r="L530" i="1"/>
  <c r="M530" i="1"/>
  <c r="N530" i="1"/>
  <c r="O530" i="1"/>
  <c r="P530" i="1"/>
  <c r="Q530" i="1"/>
  <c r="R530" i="1"/>
  <c r="B531" i="1"/>
  <c r="C531" i="1"/>
  <c r="D531" i="1"/>
  <c r="E531" i="1"/>
  <c r="G531" i="1"/>
  <c r="K531" i="1"/>
  <c r="L531" i="1"/>
  <c r="M531" i="1"/>
  <c r="N531" i="1"/>
  <c r="O531" i="1"/>
  <c r="P531" i="1"/>
  <c r="Q531" i="1"/>
  <c r="R531" i="1"/>
  <c r="B532" i="1"/>
  <c r="C532" i="1"/>
  <c r="D532" i="1"/>
  <c r="E532" i="1"/>
  <c r="G532" i="1"/>
  <c r="K532" i="1"/>
  <c r="L532" i="1"/>
  <c r="M532" i="1"/>
  <c r="N532" i="1"/>
  <c r="O532" i="1"/>
  <c r="P532" i="1"/>
  <c r="Q532" i="1"/>
  <c r="R532" i="1"/>
  <c r="B541" i="1"/>
  <c r="C541" i="1"/>
  <c r="D541" i="1"/>
  <c r="E541" i="1"/>
  <c r="G541" i="1"/>
  <c r="K541" i="1"/>
  <c r="L541" i="1"/>
  <c r="M541" i="1"/>
  <c r="N541" i="1"/>
  <c r="O541" i="1"/>
  <c r="P541" i="1"/>
  <c r="Q541" i="1"/>
  <c r="R541" i="1"/>
  <c r="B542" i="1"/>
  <c r="C542" i="1"/>
  <c r="D542" i="1"/>
  <c r="E542" i="1"/>
  <c r="G542" i="1"/>
  <c r="K542" i="1"/>
  <c r="L542" i="1"/>
  <c r="M542" i="1"/>
  <c r="N542" i="1"/>
  <c r="O542" i="1"/>
  <c r="P542" i="1"/>
  <c r="Q542" i="1"/>
  <c r="R542" i="1"/>
  <c r="B543" i="1"/>
  <c r="C543" i="1"/>
  <c r="D543" i="1"/>
  <c r="E543" i="1"/>
  <c r="G543" i="1"/>
  <c r="K543" i="1"/>
  <c r="L543" i="1"/>
  <c r="M543" i="1"/>
  <c r="N543" i="1"/>
  <c r="O543" i="1"/>
  <c r="P543" i="1"/>
  <c r="Q543" i="1"/>
  <c r="R543" i="1"/>
  <c r="B544" i="1"/>
  <c r="C544" i="1"/>
  <c r="D544" i="1"/>
  <c r="E544" i="1"/>
  <c r="G544" i="1"/>
  <c r="K544" i="1"/>
  <c r="L544" i="1"/>
  <c r="M544" i="1"/>
  <c r="N544" i="1"/>
  <c r="O544" i="1"/>
  <c r="P544" i="1"/>
  <c r="Q544" i="1"/>
  <c r="R544" i="1"/>
  <c r="B545" i="1"/>
  <c r="C545" i="1"/>
  <c r="D545" i="1"/>
  <c r="E545" i="1"/>
  <c r="G545" i="1"/>
  <c r="K545" i="1"/>
  <c r="L545" i="1"/>
  <c r="M545" i="1"/>
  <c r="N545" i="1"/>
  <c r="O545" i="1"/>
  <c r="P545" i="1"/>
  <c r="Q545" i="1"/>
  <c r="R545" i="1"/>
  <c r="B546" i="1"/>
  <c r="C546" i="1"/>
  <c r="D546" i="1"/>
  <c r="E546" i="1"/>
  <c r="G546" i="1"/>
  <c r="K546" i="1"/>
  <c r="L546" i="1"/>
  <c r="M546" i="1"/>
  <c r="N546" i="1"/>
  <c r="O546" i="1"/>
  <c r="P546" i="1"/>
  <c r="Q546" i="1"/>
  <c r="R546" i="1"/>
  <c r="B547" i="1"/>
  <c r="C547" i="1"/>
  <c r="D547" i="1"/>
  <c r="E547" i="1"/>
  <c r="G547" i="1"/>
  <c r="K547" i="1"/>
  <c r="L547" i="1"/>
  <c r="M547" i="1"/>
  <c r="N547" i="1"/>
  <c r="O547" i="1"/>
  <c r="P547" i="1"/>
  <c r="Q547" i="1"/>
  <c r="R547" i="1"/>
  <c r="B548" i="1"/>
  <c r="C548" i="1"/>
  <c r="D548" i="1"/>
  <c r="E548" i="1"/>
  <c r="G548" i="1"/>
  <c r="K548" i="1"/>
  <c r="L548" i="1"/>
  <c r="M548" i="1"/>
  <c r="N548" i="1"/>
  <c r="O548" i="1"/>
  <c r="P548" i="1"/>
  <c r="Q548" i="1"/>
  <c r="R548" i="1"/>
  <c r="B557" i="1"/>
  <c r="C557" i="1"/>
  <c r="D557" i="1"/>
  <c r="E557" i="1"/>
  <c r="G557" i="1"/>
  <c r="K557" i="1"/>
  <c r="L557" i="1"/>
  <c r="M557" i="1"/>
  <c r="N557" i="1"/>
  <c r="O557" i="1"/>
  <c r="P557" i="1"/>
  <c r="Q557" i="1"/>
  <c r="R557" i="1"/>
  <c r="B558" i="1"/>
  <c r="C558" i="1"/>
  <c r="D558" i="1"/>
  <c r="E558" i="1"/>
  <c r="G558" i="1"/>
  <c r="K558" i="1"/>
  <c r="L558" i="1"/>
  <c r="M558" i="1"/>
  <c r="N558" i="1"/>
  <c r="O558" i="1"/>
  <c r="P558" i="1"/>
  <c r="Q558" i="1"/>
  <c r="R558" i="1"/>
  <c r="B559" i="1"/>
  <c r="C559" i="1"/>
  <c r="D559" i="1"/>
  <c r="E559" i="1"/>
  <c r="G559" i="1"/>
  <c r="K559" i="1"/>
  <c r="L559" i="1"/>
  <c r="M559" i="1"/>
  <c r="N559" i="1"/>
  <c r="O559" i="1"/>
  <c r="P559" i="1"/>
  <c r="Q559" i="1"/>
  <c r="R559" i="1"/>
  <c r="B560" i="1"/>
  <c r="C560" i="1"/>
  <c r="D560" i="1"/>
  <c r="E560" i="1"/>
  <c r="G560" i="1"/>
  <c r="K560" i="1"/>
  <c r="L560" i="1"/>
  <c r="M560" i="1"/>
  <c r="N560" i="1"/>
  <c r="O560" i="1"/>
  <c r="P560" i="1"/>
  <c r="Q560" i="1"/>
  <c r="R560" i="1"/>
  <c r="B561" i="1"/>
  <c r="C561" i="1"/>
  <c r="D561" i="1"/>
  <c r="E561" i="1"/>
  <c r="G561" i="1"/>
  <c r="K561" i="1"/>
  <c r="L561" i="1"/>
  <c r="M561" i="1"/>
  <c r="N561" i="1"/>
  <c r="O561" i="1"/>
  <c r="P561" i="1"/>
  <c r="Q561" i="1"/>
  <c r="R561" i="1"/>
  <c r="B562" i="1"/>
  <c r="C562" i="1"/>
  <c r="D562" i="1"/>
  <c r="E562" i="1"/>
  <c r="G562" i="1"/>
  <c r="K562" i="1"/>
  <c r="L562" i="1"/>
  <c r="M562" i="1"/>
  <c r="N562" i="1"/>
  <c r="O562" i="1"/>
  <c r="P562" i="1"/>
  <c r="Q562" i="1"/>
  <c r="R562" i="1"/>
  <c r="B563" i="1"/>
  <c r="C563" i="1"/>
  <c r="D563" i="1"/>
  <c r="E563" i="1"/>
  <c r="G563" i="1"/>
  <c r="K563" i="1"/>
  <c r="L563" i="1"/>
  <c r="M563" i="1"/>
  <c r="N563" i="1"/>
  <c r="O563" i="1"/>
  <c r="P563" i="1"/>
  <c r="Q563" i="1"/>
  <c r="R563" i="1"/>
  <c r="B564" i="1"/>
  <c r="C564" i="1"/>
  <c r="D564" i="1"/>
  <c r="E564" i="1"/>
  <c r="G564" i="1"/>
  <c r="K564" i="1"/>
  <c r="L564" i="1"/>
  <c r="M564" i="1"/>
  <c r="N564" i="1"/>
  <c r="O564" i="1"/>
  <c r="P564" i="1"/>
  <c r="Q564" i="1"/>
  <c r="R564" i="1"/>
  <c r="B565" i="1"/>
  <c r="C565" i="1"/>
  <c r="D565" i="1"/>
  <c r="E565" i="1"/>
  <c r="G565" i="1"/>
  <c r="K565" i="1"/>
  <c r="L565" i="1"/>
  <c r="M565" i="1"/>
  <c r="N565" i="1"/>
  <c r="O565" i="1"/>
  <c r="P565" i="1"/>
  <c r="Q565" i="1"/>
  <c r="R565" i="1"/>
  <c r="B575" i="1"/>
  <c r="C575" i="1"/>
  <c r="D575" i="1"/>
  <c r="E575" i="1"/>
  <c r="G575" i="1"/>
  <c r="K575" i="1"/>
  <c r="L575" i="1"/>
  <c r="M575" i="1"/>
  <c r="N575" i="1"/>
  <c r="O575" i="1"/>
  <c r="P575" i="1"/>
  <c r="Q575" i="1"/>
  <c r="R575" i="1"/>
  <c r="B576" i="1"/>
  <c r="C576" i="1"/>
  <c r="D576" i="1"/>
  <c r="E576" i="1"/>
  <c r="G576" i="1"/>
  <c r="K576" i="1"/>
  <c r="L576" i="1"/>
  <c r="M576" i="1"/>
  <c r="N576" i="1"/>
  <c r="O576" i="1"/>
  <c r="P576" i="1"/>
  <c r="Q576" i="1"/>
  <c r="R576" i="1"/>
  <c r="O219" i="1" l="1"/>
  <c r="R441" i="1"/>
  <c r="R323" i="1" s="1"/>
  <c r="K367" i="1"/>
  <c r="P216" i="1"/>
  <c r="L220" i="1"/>
  <c r="L215" i="1"/>
  <c r="L218" i="1"/>
  <c r="R220" i="1"/>
  <c r="R215" i="1"/>
  <c r="R218" i="1"/>
  <c r="M220" i="1"/>
  <c r="P219" i="1"/>
  <c r="G220" i="1"/>
  <c r="P218" i="1"/>
  <c r="N220" i="1"/>
  <c r="K218" i="1"/>
  <c r="Q218" i="1"/>
  <c r="N217" i="1"/>
  <c r="P442" i="1"/>
  <c r="L443" i="1"/>
  <c r="P445" i="1"/>
  <c r="L365" i="1"/>
  <c r="O581" i="1"/>
  <c r="N219" i="1"/>
  <c r="N216" i="1"/>
  <c r="N218" i="1"/>
  <c r="N215" i="1"/>
  <c r="O363" i="1"/>
  <c r="G215" i="1"/>
  <c r="M215" i="1"/>
  <c r="K216" i="1"/>
  <c r="K302" i="1" s="1"/>
  <c r="K306" i="1" s="1"/>
  <c r="Q216" i="1"/>
  <c r="Q302" i="1" s="1"/>
  <c r="Q306" i="1" s="1"/>
  <c r="O217" i="1"/>
  <c r="G218" i="1"/>
  <c r="M218" i="1"/>
  <c r="K219" i="1"/>
  <c r="Q219" i="1"/>
  <c r="O220" i="1"/>
  <c r="L216" i="1"/>
  <c r="L302" i="1" s="1"/>
  <c r="L306" i="1" s="1"/>
  <c r="R216" i="1"/>
  <c r="R302" i="1" s="1"/>
  <c r="R306" i="1" s="1"/>
  <c r="P217" i="1"/>
  <c r="L219" i="1"/>
  <c r="R219" i="1"/>
  <c r="P220" i="1"/>
  <c r="O215" i="1"/>
  <c r="G216" i="1"/>
  <c r="J8" i="17" s="1"/>
  <c r="M216" i="1"/>
  <c r="K217" i="1"/>
  <c r="Q217" i="1"/>
  <c r="O218" i="1"/>
  <c r="G219" i="1"/>
  <c r="M219" i="1"/>
  <c r="K220" i="1"/>
  <c r="Q220" i="1"/>
  <c r="P215" i="1"/>
  <c r="L217" i="1"/>
  <c r="R217" i="1"/>
  <c r="K215" i="1"/>
  <c r="Q215" i="1"/>
  <c r="O216" i="1"/>
  <c r="G217" i="1"/>
  <c r="M217" i="1"/>
  <c r="O413" i="1"/>
  <c r="P366" i="1"/>
  <c r="G367" i="1"/>
  <c r="R365" i="1"/>
  <c r="N366" i="1"/>
  <c r="R345" i="1"/>
  <c r="O582" i="1"/>
  <c r="O426" i="1"/>
  <c r="K431" i="1"/>
  <c r="O428" i="1"/>
  <c r="P577" i="1"/>
  <c r="G578" i="1"/>
  <c r="G332" i="1" s="1"/>
  <c r="R444" i="1"/>
  <c r="L442" i="1"/>
  <c r="N443" i="1"/>
  <c r="P444" i="1"/>
  <c r="G415" i="1"/>
  <c r="M378" i="1"/>
  <c r="M320" i="1" s="1"/>
  <c r="O379" i="1"/>
  <c r="Q377" i="1"/>
  <c r="K377" i="1"/>
  <c r="O538" i="1"/>
  <c r="Q538" i="1"/>
  <c r="K538" i="1"/>
  <c r="M533" i="1"/>
  <c r="Q364" i="1"/>
  <c r="Q319" i="1" s="1"/>
  <c r="G363" i="1"/>
  <c r="L426" i="1"/>
  <c r="R343" i="1"/>
  <c r="L343" i="1"/>
  <c r="N343" i="1"/>
  <c r="Q412" i="1"/>
  <c r="N368" i="1"/>
  <c r="L569" i="1"/>
  <c r="O459" i="1"/>
  <c r="O324" i="1" s="1"/>
  <c r="P515" i="1"/>
  <c r="L510" i="1"/>
  <c r="G495" i="1"/>
  <c r="N475" i="1"/>
  <c r="P478" i="1"/>
  <c r="R477" i="1"/>
  <c r="R474" i="1"/>
  <c r="R325" i="1" s="1"/>
  <c r="L473" i="1"/>
  <c r="R442" i="1"/>
  <c r="L440" i="1"/>
  <c r="N441" i="1"/>
  <c r="N323" i="1" s="1"/>
  <c r="M379" i="1"/>
  <c r="G344" i="1"/>
  <c r="G318" i="1" s="1"/>
  <c r="L346" i="1"/>
  <c r="O495" i="1"/>
  <c r="G429" i="1"/>
  <c r="M365" i="1"/>
  <c r="M527" i="1"/>
  <c r="L515" i="1"/>
  <c r="K461" i="1"/>
  <c r="O427" i="1"/>
  <c r="O322" i="1" s="1"/>
  <c r="P410" i="1"/>
  <c r="G410" i="1"/>
  <c r="R411" i="1"/>
  <c r="R321" i="1" s="1"/>
  <c r="L411" i="1"/>
  <c r="L321" i="1" s="1"/>
  <c r="N412" i="1"/>
  <c r="P415" i="1"/>
  <c r="P368" i="1"/>
  <c r="G368" i="1"/>
  <c r="R366" i="1"/>
  <c r="L366" i="1"/>
  <c r="P367" i="1"/>
  <c r="P427" i="1"/>
  <c r="P322" i="1" s="1"/>
  <c r="L428" i="1"/>
  <c r="N431" i="1"/>
  <c r="Q581" i="1"/>
  <c r="K577" i="1"/>
  <c r="Q569" i="1"/>
  <c r="K570" i="1"/>
  <c r="M537" i="1"/>
  <c r="Q380" i="1"/>
  <c r="G380" i="1"/>
  <c r="R378" i="1"/>
  <c r="R320" i="1" s="1"/>
  <c r="L382" i="1"/>
  <c r="N380" i="1"/>
  <c r="M364" i="1"/>
  <c r="M319" i="1" s="1"/>
  <c r="O365" i="1"/>
  <c r="Q363" i="1"/>
  <c r="K363" i="1"/>
  <c r="O368" i="1"/>
  <c r="K364" i="1"/>
  <c r="K319" i="1" s="1"/>
  <c r="K366" i="1"/>
  <c r="R536" i="1"/>
  <c r="L536" i="1"/>
  <c r="N538" i="1"/>
  <c r="P537" i="1"/>
  <c r="G536" i="1"/>
  <c r="G512" i="1"/>
  <c r="R514" i="1"/>
  <c r="L511" i="1"/>
  <c r="L327" i="1" s="1"/>
  <c r="N515" i="1"/>
  <c r="R496" i="1"/>
  <c r="N442" i="1"/>
  <c r="Q429" i="1"/>
  <c r="K427" i="1"/>
  <c r="K322" i="1" s="1"/>
  <c r="P363" i="1"/>
  <c r="O536" i="1"/>
  <c r="R526" i="1"/>
  <c r="R459" i="1"/>
  <c r="R324" i="1" s="1"/>
  <c r="O411" i="1"/>
  <c r="O321" i="1" s="1"/>
  <c r="M415" i="1"/>
  <c r="L348" i="1"/>
  <c r="O568" i="1"/>
  <c r="M566" i="1"/>
  <c r="R430" i="1"/>
  <c r="R429" i="1"/>
  <c r="L412" i="1"/>
  <c r="N413" i="1"/>
  <c r="N415" i="1"/>
  <c r="L414" i="1"/>
  <c r="N411" i="1"/>
  <c r="N321" i="1" s="1"/>
  <c r="O577" i="1"/>
  <c r="R515" i="1"/>
  <c r="L514" i="1"/>
  <c r="L513" i="1"/>
  <c r="L478" i="1"/>
  <c r="Q459" i="1"/>
  <c r="Q324" i="1" s="1"/>
  <c r="O461" i="1"/>
  <c r="Q458" i="1"/>
  <c r="K458" i="1"/>
  <c r="M463" i="1"/>
  <c r="N445" i="1"/>
  <c r="O440" i="1"/>
  <c r="P428" i="1"/>
  <c r="G414" i="1"/>
  <c r="G412" i="1"/>
  <c r="O377" i="1"/>
  <c r="P431" i="1"/>
  <c r="N426" i="1"/>
  <c r="N427" i="1"/>
  <c r="N322" i="1" s="1"/>
  <c r="N428" i="1"/>
  <c r="R410" i="1"/>
  <c r="Q582" i="1"/>
  <c r="K581" i="1"/>
  <c r="G537" i="1"/>
  <c r="L534" i="1"/>
  <c r="L329" i="1" s="1"/>
  <c r="M523" i="1"/>
  <c r="M328" i="1" s="1"/>
  <c r="O527" i="1"/>
  <c r="M512" i="1"/>
  <c r="Q512" i="1"/>
  <c r="K512" i="1"/>
  <c r="M513" i="1"/>
  <c r="O512" i="1"/>
  <c r="R476" i="1"/>
  <c r="P474" i="1"/>
  <c r="P325" i="1" s="1"/>
  <c r="Q477" i="1"/>
  <c r="Q430" i="1"/>
  <c r="M429" i="1"/>
  <c r="Q343" i="1"/>
  <c r="Q347" i="1"/>
  <c r="Q345" i="1"/>
  <c r="Q344" i="1"/>
  <c r="Q318" i="1" s="1"/>
  <c r="K343" i="1"/>
  <c r="K347" i="1"/>
  <c r="K344" i="1"/>
  <c r="K318" i="1" s="1"/>
  <c r="K345" i="1"/>
  <c r="M343" i="1"/>
  <c r="M345" i="1"/>
  <c r="M346" i="1"/>
  <c r="M347" i="1"/>
  <c r="M344" i="1"/>
  <c r="M318" i="1" s="1"/>
  <c r="M348" i="1"/>
  <c r="O346" i="1"/>
  <c r="O348" i="1"/>
  <c r="O343" i="1"/>
  <c r="P411" i="1"/>
  <c r="P321" i="1" s="1"/>
  <c r="P412" i="1"/>
  <c r="K580" i="1"/>
  <c r="K578" i="1"/>
  <c r="K332" i="1" s="1"/>
  <c r="R579" i="1"/>
  <c r="L579" i="1"/>
  <c r="K534" i="1"/>
  <c r="K329" i="1" s="1"/>
  <c r="R478" i="1"/>
  <c r="P476" i="1"/>
  <c r="P475" i="1"/>
  <c r="L474" i="1"/>
  <c r="L325" i="1" s="1"/>
  <c r="K463" i="1"/>
  <c r="R461" i="1"/>
  <c r="N444" i="1"/>
  <c r="N430" i="1"/>
  <c r="P429" i="1"/>
  <c r="P426" i="1"/>
  <c r="P430" i="1"/>
  <c r="G426" i="1"/>
  <c r="R428" i="1"/>
  <c r="N410" i="1"/>
  <c r="G428" i="1"/>
  <c r="L431" i="1"/>
  <c r="L429" i="1"/>
  <c r="R415" i="1"/>
  <c r="G411" i="1"/>
  <c r="G321" i="1" s="1"/>
  <c r="R512" i="1"/>
  <c r="O492" i="1"/>
  <c r="O326" i="1" s="1"/>
  <c r="Q495" i="1"/>
  <c r="K492" i="1"/>
  <c r="K326" i="1" s="1"/>
  <c r="N477" i="1"/>
  <c r="N476" i="1"/>
  <c r="R431" i="1"/>
  <c r="L430" i="1"/>
  <c r="N429" i="1"/>
  <c r="O429" i="1"/>
  <c r="O430" i="1"/>
  <c r="Q431" i="1"/>
  <c r="Q426" i="1"/>
  <c r="Q427" i="1"/>
  <c r="Q322" i="1" s="1"/>
  <c r="Q428" i="1"/>
  <c r="K428" i="1"/>
  <c r="K430" i="1"/>
  <c r="R414" i="1"/>
  <c r="O410" i="1"/>
  <c r="O415" i="1"/>
  <c r="O412" i="1"/>
  <c r="O414" i="1"/>
  <c r="Q415" i="1"/>
  <c r="K412" i="1"/>
  <c r="K415" i="1"/>
  <c r="M410" i="1"/>
  <c r="M413" i="1"/>
  <c r="M414" i="1"/>
  <c r="M377" i="1"/>
  <c r="O378" i="1"/>
  <c r="O320" i="1" s="1"/>
  <c r="Q379" i="1"/>
  <c r="Q381" i="1"/>
  <c r="Q378" i="1"/>
  <c r="Q320" i="1" s="1"/>
  <c r="K379" i="1"/>
  <c r="K380" i="1"/>
  <c r="K378" i="1"/>
  <c r="K320" i="1" s="1"/>
  <c r="N474" i="1"/>
  <c r="N325" i="1" s="1"/>
  <c r="R412" i="1"/>
  <c r="L415" i="1"/>
  <c r="R552" i="1"/>
  <c r="L553" i="1"/>
  <c r="N551" i="1"/>
  <c r="R538" i="1"/>
  <c r="P534" i="1"/>
  <c r="P329" i="1" s="1"/>
  <c r="G527" i="1"/>
  <c r="L512" i="1"/>
  <c r="G510" i="1"/>
  <c r="R511" i="1"/>
  <c r="R327" i="1" s="1"/>
  <c r="Q494" i="1"/>
  <c r="N478" i="1"/>
  <c r="L477" i="1"/>
  <c r="L475" i="1"/>
  <c r="N473" i="1"/>
  <c r="P473" i="1"/>
  <c r="G478" i="1"/>
  <c r="R440" i="1"/>
  <c r="L441" i="1"/>
  <c r="L323" i="1" s="1"/>
  <c r="O431" i="1"/>
  <c r="G430" i="1"/>
  <c r="K429" i="1"/>
  <c r="K426" i="1"/>
  <c r="N414" i="1"/>
  <c r="L413" i="1"/>
  <c r="K381" i="1"/>
  <c r="R413" i="1"/>
  <c r="L410" i="1"/>
  <c r="L381" i="1"/>
  <c r="R379" i="1"/>
  <c r="N365" i="1"/>
  <c r="N363" i="1"/>
  <c r="L347" i="1"/>
  <c r="R382" i="1"/>
  <c r="L379" i="1"/>
  <c r="G377" i="1"/>
  <c r="N364" i="1"/>
  <c r="N319" i="1" s="1"/>
  <c r="P364" i="1"/>
  <c r="P319" i="1" s="1"/>
  <c r="G364" i="1"/>
  <c r="G319" i="1" s="1"/>
  <c r="G366" i="1"/>
  <c r="R367" i="1"/>
  <c r="R368" i="1"/>
  <c r="R364" i="1"/>
  <c r="R319" i="1" s="1"/>
  <c r="L367" i="1"/>
  <c r="L368" i="1"/>
  <c r="L345" i="1"/>
  <c r="P347" i="1"/>
  <c r="N346" i="1"/>
  <c r="Q411" i="1"/>
  <c r="Q321" i="1" s="1"/>
  <c r="K411" i="1"/>
  <c r="K321" i="1" s="1"/>
  <c r="M412" i="1"/>
  <c r="O380" i="1"/>
  <c r="M363" i="1"/>
  <c r="O364" i="1"/>
  <c r="O319" i="1" s="1"/>
  <c r="M368" i="1"/>
  <c r="O366" i="1"/>
  <c r="Q366" i="1"/>
  <c r="Q367" i="1"/>
  <c r="N348" i="1"/>
  <c r="P378" i="1"/>
  <c r="P320" i="1" s="1"/>
  <c r="P380" i="1"/>
  <c r="G381" i="1"/>
  <c r="G378" i="1"/>
  <c r="G320" i="1" s="1"/>
  <c r="R381" i="1"/>
  <c r="L378" i="1"/>
  <c r="L320" i="1" s="1"/>
  <c r="N377" i="1"/>
  <c r="N382" i="1"/>
  <c r="N379" i="1"/>
  <c r="R348" i="1"/>
  <c r="O310" i="1"/>
  <c r="L445" i="1"/>
  <c r="R443" i="1"/>
  <c r="P441" i="1"/>
  <c r="P323" i="1" s="1"/>
  <c r="G445" i="1"/>
  <c r="G431" i="1"/>
  <c r="G427" i="1"/>
  <c r="G322" i="1" s="1"/>
  <c r="P414" i="1"/>
  <c r="P381" i="1"/>
  <c r="P377" i="1"/>
  <c r="M382" i="1"/>
  <c r="L364" i="1"/>
  <c r="L319" i="1" s="1"/>
  <c r="G348" i="1"/>
  <c r="N381" i="1"/>
  <c r="P379" i="1"/>
  <c r="G379" i="1"/>
  <c r="R377" i="1"/>
  <c r="L377" i="1"/>
  <c r="N378" i="1"/>
  <c r="N320" i="1" s="1"/>
  <c r="P310" i="1"/>
  <c r="N367" i="1"/>
  <c r="P365" i="1"/>
  <c r="G365" i="1"/>
  <c r="R363" i="1"/>
  <c r="L363" i="1"/>
  <c r="P348" i="1"/>
  <c r="P344" i="1"/>
  <c r="P318" i="1" s="1"/>
  <c r="G345" i="1"/>
  <c r="G347" i="1"/>
  <c r="R347" i="1"/>
  <c r="N344" i="1"/>
  <c r="N318" i="1" s="1"/>
  <c r="N347" i="1"/>
  <c r="G313" i="1"/>
  <c r="R310" i="1"/>
  <c r="L310" i="1"/>
  <c r="G346" i="1"/>
  <c r="Q346" i="1"/>
  <c r="K346" i="1"/>
  <c r="O345" i="1"/>
  <c r="D333" i="1"/>
  <c r="K473" i="1"/>
  <c r="M426" i="1"/>
  <c r="M427" i="1"/>
  <c r="M322" i="1" s="1"/>
  <c r="K582" i="1"/>
  <c r="Q580" i="1"/>
  <c r="Q578" i="1"/>
  <c r="Q332" i="1" s="1"/>
  <c r="M577" i="1"/>
  <c r="G515" i="1"/>
  <c r="G514" i="1"/>
  <c r="K495" i="1"/>
  <c r="O494" i="1"/>
  <c r="Q491" i="1"/>
  <c r="N491" i="1"/>
  <c r="K459" i="1"/>
  <c r="K324" i="1" s="1"/>
  <c r="N440" i="1"/>
  <c r="R426" i="1"/>
  <c r="R427" i="1"/>
  <c r="R322" i="1" s="1"/>
  <c r="P580" i="1"/>
  <c r="P578" i="1"/>
  <c r="P332" i="1" s="1"/>
  <c r="R577" i="1"/>
  <c r="L577" i="1"/>
  <c r="L550" i="1"/>
  <c r="L330" i="1" s="1"/>
  <c r="P551" i="1"/>
  <c r="G549" i="1"/>
  <c r="R550" i="1"/>
  <c r="R330" i="1" s="1"/>
  <c r="L551" i="1"/>
  <c r="N549" i="1"/>
  <c r="N554" i="1"/>
  <c r="P554" i="1"/>
  <c r="R553" i="1"/>
  <c r="L552" i="1"/>
  <c r="L538" i="1"/>
  <c r="K494" i="1"/>
  <c r="O493" i="1"/>
  <c r="O491" i="1"/>
  <c r="K442" i="1"/>
  <c r="M430" i="1"/>
  <c r="M428" i="1"/>
  <c r="Q567" i="1"/>
  <c r="Q331" i="1" s="1"/>
  <c r="K571" i="1"/>
  <c r="M567" i="1"/>
  <c r="M331" i="1" s="1"/>
  <c r="P535" i="1"/>
  <c r="G534" i="1"/>
  <c r="G329" i="1" s="1"/>
  <c r="M536" i="1"/>
  <c r="M525" i="1"/>
  <c r="M522" i="1"/>
  <c r="N512" i="1"/>
  <c r="R510" i="1"/>
  <c r="K493" i="1"/>
  <c r="Q492" i="1"/>
  <c r="Q326" i="1" s="1"/>
  <c r="K491" i="1"/>
  <c r="Q463" i="1"/>
  <c r="Q462" i="1"/>
  <c r="Q460" i="1"/>
  <c r="N458" i="1"/>
  <c r="Q577" i="1"/>
  <c r="P579" i="1"/>
  <c r="G577" i="1"/>
  <c r="N566" i="1"/>
  <c r="R549" i="1"/>
  <c r="G538" i="1"/>
  <c r="L535" i="1"/>
  <c r="G533" i="1"/>
  <c r="P536" i="1"/>
  <c r="G535" i="1"/>
  <c r="O522" i="1"/>
  <c r="M526" i="1"/>
  <c r="M510" i="1"/>
  <c r="O496" i="1"/>
  <c r="Q493" i="1"/>
  <c r="O463" i="1"/>
  <c r="O462" i="1"/>
  <c r="O460" i="1"/>
  <c r="O458" i="1"/>
  <c r="M431" i="1"/>
  <c r="O533" i="1"/>
  <c r="O524" i="1"/>
  <c r="P527" i="1"/>
  <c r="R525" i="1"/>
  <c r="K496" i="1"/>
  <c r="P477" i="1"/>
  <c r="R473" i="1"/>
  <c r="L476" i="1"/>
  <c r="K462" i="1"/>
  <c r="K460" i="1"/>
  <c r="R445" i="1"/>
  <c r="L444" i="1"/>
  <c r="Q413" i="1"/>
  <c r="K413" i="1"/>
  <c r="M411" i="1"/>
  <c r="M321" i="1" s="1"/>
  <c r="Q410" i="1"/>
  <c r="K410" i="1"/>
  <c r="Q382" i="1"/>
  <c r="K382" i="1"/>
  <c r="O381" i="1"/>
  <c r="M380" i="1"/>
  <c r="Q368" i="1"/>
  <c r="K368" i="1"/>
  <c r="O367" i="1"/>
  <c r="M366" i="1"/>
  <c r="Q365" i="1"/>
  <c r="K365" i="1"/>
  <c r="Q348" i="1"/>
  <c r="K348" i="1"/>
  <c r="O347" i="1"/>
  <c r="R346" i="1"/>
  <c r="P345" i="1"/>
  <c r="O344" i="1"/>
  <c r="O318" i="1" s="1"/>
  <c r="R344" i="1"/>
  <c r="R318" i="1" s="1"/>
  <c r="L344" i="1"/>
  <c r="L318" i="1" s="1"/>
  <c r="P343" i="1"/>
  <c r="P346" i="1"/>
  <c r="L427" i="1"/>
  <c r="L322" i="1" s="1"/>
  <c r="P413" i="1"/>
  <c r="G413" i="1"/>
  <c r="P382" i="1"/>
  <c r="G382" i="1"/>
  <c r="R380" i="1"/>
  <c r="L380" i="1"/>
  <c r="Q414" i="1"/>
  <c r="K414" i="1"/>
  <c r="O382" i="1"/>
  <c r="M381" i="1"/>
  <c r="M367" i="1"/>
  <c r="N345" i="1"/>
  <c r="G343" i="1"/>
  <c r="Q310" i="1"/>
  <c r="K310" i="1"/>
  <c r="G310" i="1"/>
  <c r="N310" i="1"/>
  <c r="M310" i="1"/>
  <c r="M582" i="1"/>
  <c r="Q579" i="1"/>
  <c r="K579" i="1"/>
  <c r="Q571" i="1"/>
  <c r="K569" i="1"/>
  <c r="M568" i="1"/>
  <c r="O570" i="1"/>
  <c r="O571" i="1"/>
  <c r="N552" i="1"/>
  <c r="L549" i="1"/>
  <c r="G553" i="1"/>
  <c r="R533" i="1"/>
  <c r="R534" i="1"/>
  <c r="R329" i="1" s="1"/>
  <c r="R535" i="1"/>
  <c r="R537" i="1"/>
  <c r="L533" i="1"/>
  <c r="L537" i="1"/>
  <c r="R522" i="1"/>
  <c r="G580" i="1"/>
  <c r="G579" i="1"/>
  <c r="P581" i="1"/>
  <c r="G581" i="1"/>
  <c r="G568" i="1"/>
  <c r="M570" i="1"/>
  <c r="G554" i="1"/>
  <c r="P553" i="1"/>
  <c r="G552" i="1"/>
  <c r="P550" i="1"/>
  <c r="P330" i="1" s="1"/>
  <c r="M581" i="1"/>
  <c r="R570" i="1"/>
  <c r="L571" i="1"/>
  <c r="P569" i="1"/>
  <c r="G570" i="1"/>
  <c r="R566" i="1"/>
  <c r="P568" i="1"/>
  <c r="G571" i="1"/>
  <c r="R571" i="1"/>
  <c r="L566" i="1"/>
  <c r="N553" i="1"/>
  <c r="N550" i="1"/>
  <c r="N330" i="1" s="1"/>
  <c r="G523" i="1"/>
  <c r="G328" i="1" s="1"/>
  <c r="G524" i="1"/>
  <c r="G522" i="1"/>
  <c r="G525" i="1"/>
  <c r="R524" i="1"/>
  <c r="R527" i="1"/>
  <c r="R523" i="1"/>
  <c r="R328" i="1" s="1"/>
  <c r="L526" i="1"/>
  <c r="L523" i="1"/>
  <c r="L328" i="1" s="1"/>
  <c r="L527" i="1"/>
  <c r="L524" i="1"/>
  <c r="L522" i="1"/>
  <c r="L525" i="1"/>
  <c r="Q570" i="1"/>
  <c r="R551" i="1"/>
  <c r="L554" i="1"/>
  <c r="M579" i="1"/>
  <c r="R554" i="1"/>
  <c r="P552" i="1"/>
  <c r="P549" i="1"/>
  <c r="G526" i="1"/>
  <c r="N577" i="1"/>
  <c r="M538" i="1"/>
  <c r="O537" i="1"/>
  <c r="M535" i="1"/>
  <c r="M534" i="1"/>
  <c r="M329" i="1" s="1"/>
  <c r="M524" i="1"/>
  <c r="P512" i="1"/>
  <c r="P511" i="1"/>
  <c r="P327" i="1" s="1"/>
  <c r="P514" i="1"/>
  <c r="P538" i="1"/>
  <c r="N536" i="1"/>
  <c r="N524" i="1"/>
  <c r="Q474" i="1"/>
  <c r="Q325" i="1" s="1"/>
  <c r="Q476" i="1"/>
  <c r="Q473" i="1"/>
  <c r="Q475" i="1"/>
  <c r="Q478" i="1"/>
  <c r="K477" i="1"/>
  <c r="K474" i="1"/>
  <c r="K325" i="1" s="1"/>
  <c r="K476" i="1"/>
  <c r="K478" i="1"/>
  <c r="M478" i="1"/>
  <c r="O476" i="1"/>
  <c r="O473" i="1"/>
  <c r="O475" i="1"/>
  <c r="O478" i="1"/>
  <c r="O477" i="1"/>
  <c r="O474" i="1"/>
  <c r="O325" i="1" s="1"/>
  <c r="O444" i="1"/>
  <c r="O443" i="1"/>
  <c r="O445" i="1"/>
  <c r="O442" i="1"/>
  <c r="O441" i="1"/>
  <c r="O323" i="1" s="1"/>
  <c r="M514" i="1"/>
  <c r="R492" i="1"/>
  <c r="R326" i="1" s="1"/>
  <c r="R495" i="1"/>
  <c r="R494" i="1"/>
  <c r="R491" i="1"/>
  <c r="L493" i="1"/>
  <c r="L496" i="1"/>
  <c r="L492" i="1"/>
  <c r="L326" i="1" s="1"/>
  <c r="L495" i="1"/>
  <c r="L494" i="1"/>
  <c r="L491" i="1"/>
  <c r="N493" i="1"/>
  <c r="N496" i="1"/>
  <c r="N492" i="1"/>
  <c r="N326" i="1" s="1"/>
  <c r="N495" i="1"/>
  <c r="N494" i="1"/>
  <c r="P494" i="1"/>
  <c r="P491" i="1"/>
  <c r="P493" i="1"/>
  <c r="P496" i="1"/>
  <c r="P492" i="1"/>
  <c r="P326" i="1" s="1"/>
  <c r="P495" i="1"/>
  <c r="M515" i="1"/>
  <c r="O515" i="1"/>
  <c r="O510" i="1"/>
  <c r="O549" i="1"/>
  <c r="O535" i="1"/>
  <c r="O525" i="1"/>
  <c r="O526" i="1"/>
  <c r="O513" i="1"/>
  <c r="M511" i="1"/>
  <c r="M327" i="1" s="1"/>
  <c r="R493" i="1"/>
  <c r="N533" i="1"/>
  <c r="R463" i="1"/>
  <c r="R460" i="1"/>
  <c r="R462" i="1"/>
  <c r="R458" i="1"/>
  <c r="L459" i="1"/>
  <c r="L324" i="1" s="1"/>
  <c r="L461" i="1"/>
  <c r="L463" i="1"/>
  <c r="L460" i="1"/>
  <c r="L462" i="1"/>
  <c r="L458" i="1"/>
  <c r="N459" i="1"/>
  <c r="N324" i="1" s="1"/>
  <c r="N461" i="1"/>
  <c r="N463" i="1"/>
  <c r="N460" i="1"/>
  <c r="N462" i="1"/>
  <c r="P460" i="1"/>
  <c r="P462" i="1"/>
  <c r="P458" i="1"/>
  <c r="P459" i="1"/>
  <c r="P324" i="1" s="1"/>
  <c r="P461" i="1"/>
  <c r="P463" i="1"/>
  <c r="Q440" i="1"/>
  <c r="Q443" i="1"/>
  <c r="Q444" i="1"/>
  <c r="Q445" i="1"/>
  <c r="Q441" i="1"/>
  <c r="Q323" i="1" s="1"/>
  <c r="Q442" i="1"/>
  <c r="K441" i="1"/>
  <c r="K323" i="1" s="1"/>
  <c r="K440" i="1"/>
  <c r="K444" i="1"/>
  <c r="K443" i="1"/>
  <c r="K445" i="1"/>
  <c r="O523" i="1"/>
  <c r="O328" i="1" s="1"/>
  <c r="R513" i="1"/>
  <c r="P510" i="1"/>
  <c r="Q496" i="1"/>
  <c r="R475" i="1"/>
  <c r="K475" i="1"/>
  <c r="Q461" i="1"/>
  <c r="P443" i="1"/>
  <c r="Q515" i="1"/>
  <c r="K515" i="1"/>
  <c r="O514" i="1"/>
  <c r="G494" i="1"/>
  <c r="P513" i="1"/>
  <c r="M493" i="1"/>
  <c r="G475" i="1"/>
  <c r="O511" i="1"/>
  <c r="O327" i="1" s="1"/>
  <c r="G493" i="1"/>
  <c r="M442" i="1"/>
  <c r="G513" i="1"/>
  <c r="G511" i="1"/>
  <c r="G327" i="1" s="1"/>
  <c r="K523" i="1"/>
  <c r="K328" i="1" s="1"/>
  <c r="K522" i="1"/>
  <c r="K525" i="1"/>
  <c r="K527" i="1"/>
  <c r="K524" i="1"/>
  <c r="K526" i="1"/>
  <c r="R582" i="1"/>
  <c r="L582" i="1"/>
  <c r="R581" i="1"/>
  <c r="L581" i="1"/>
  <c r="M580" i="1"/>
  <c r="M578" i="1"/>
  <c r="M332" i="1" s="1"/>
  <c r="P570" i="1"/>
  <c r="L567" i="1"/>
  <c r="L331" i="1" s="1"/>
  <c r="Q533" i="1"/>
  <c r="Q536" i="1"/>
  <c r="Q535" i="1"/>
  <c r="Q534" i="1"/>
  <c r="Q329" i="1" s="1"/>
  <c r="Q537" i="1"/>
  <c r="K533" i="1"/>
  <c r="K536" i="1"/>
  <c r="K535" i="1"/>
  <c r="K537" i="1"/>
  <c r="N522" i="1"/>
  <c r="N527" i="1"/>
  <c r="L580" i="1"/>
  <c r="L578" i="1"/>
  <c r="L332" i="1" s="1"/>
  <c r="G569" i="1"/>
  <c r="G567" i="1"/>
  <c r="G331" i="1" s="1"/>
  <c r="G566" i="1"/>
  <c r="N568" i="1"/>
  <c r="N567" i="1"/>
  <c r="N331" i="1" s="1"/>
  <c r="N570" i="1"/>
  <c r="N569" i="1"/>
  <c r="N571" i="1"/>
  <c r="P566" i="1"/>
  <c r="P567" i="1"/>
  <c r="P331" i="1" s="1"/>
  <c r="R567" i="1"/>
  <c r="R331" i="1" s="1"/>
  <c r="R568" i="1"/>
  <c r="L568" i="1"/>
  <c r="P524" i="1"/>
  <c r="P526" i="1"/>
  <c r="P523" i="1"/>
  <c r="P328" i="1" s="1"/>
  <c r="P582" i="1"/>
  <c r="G582" i="1"/>
  <c r="O579" i="1"/>
  <c r="O580" i="1"/>
  <c r="P571" i="1"/>
  <c r="L570" i="1"/>
  <c r="R569" i="1"/>
  <c r="R580" i="1"/>
  <c r="N579" i="1"/>
  <c r="R578" i="1"/>
  <c r="R332" i="1" s="1"/>
  <c r="N580" i="1"/>
  <c r="Q549" i="1"/>
  <c r="Q552" i="1"/>
  <c r="Q553" i="1"/>
  <c r="Q554" i="1"/>
  <c r="Q550" i="1"/>
  <c r="Q330" i="1" s="1"/>
  <c r="Q551" i="1"/>
  <c r="K549" i="1"/>
  <c r="K552" i="1"/>
  <c r="K553" i="1"/>
  <c r="K554" i="1"/>
  <c r="K550" i="1"/>
  <c r="K330" i="1" s="1"/>
  <c r="K551" i="1"/>
  <c r="M550" i="1"/>
  <c r="M330" i="1" s="1"/>
  <c r="M551" i="1"/>
  <c r="M549" i="1"/>
  <c r="M552" i="1"/>
  <c r="M553" i="1"/>
  <c r="M554" i="1"/>
  <c r="O554" i="1"/>
  <c r="O551" i="1"/>
  <c r="Q523" i="1"/>
  <c r="Q328" i="1" s="1"/>
  <c r="Q522" i="1"/>
  <c r="Q525" i="1"/>
  <c r="Q527" i="1"/>
  <c r="Q524" i="1"/>
  <c r="Q526" i="1"/>
  <c r="N582" i="1"/>
  <c r="N581" i="1"/>
  <c r="Q568" i="1"/>
  <c r="Q566" i="1"/>
  <c r="K566" i="1"/>
  <c r="K567" i="1"/>
  <c r="K331" i="1" s="1"/>
  <c r="K568" i="1"/>
  <c r="M569" i="1"/>
  <c r="M571" i="1"/>
  <c r="O566" i="1"/>
  <c r="P533" i="1"/>
  <c r="N525" i="1"/>
  <c r="P522" i="1"/>
  <c r="N510" i="1"/>
  <c r="N513" i="1"/>
  <c r="N511" i="1"/>
  <c r="N327" i="1" s="1"/>
  <c r="N514" i="1"/>
  <c r="G551" i="1"/>
  <c r="G550" i="1"/>
  <c r="G330" i="1" s="1"/>
  <c r="N535" i="1"/>
  <c r="O534" i="1"/>
  <c r="O329" i="1" s="1"/>
  <c r="G458" i="1"/>
  <c r="G461" i="1"/>
  <c r="G459" i="1"/>
  <c r="G324" i="1" s="1"/>
  <c r="G462" i="1"/>
  <c r="G463" i="1"/>
  <c r="G460" i="1"/>
  <c r="N534" i="1"/>
  <c r="N329" i="1" s="1"/>
  <c r="N523" i="1"/>
  <c r="N328" i="1" s="1"/>
  <c r="N526" i="1"/>
  <c r="O552" i="1"/>
  <c r="Q511" i="1"/>
  <c r="Q327" i="1" s="1"/>
  <c r="K511" i="1"/>
  <c r="K327" i="1" s="1"/>
  <c r="O569" i="1"/>
  <c r="N537" i="1"/>
  <c r="M494" i="1"/>
  <c r="M495" i="1"/>
  <c r="M475" i="1"/>
  <c r="Q513" i="1"/>
  <c r="K513" i="1"/>
  <c r="Q510" i="1"/>
  <c r="K510" i="1"/>
  <c r="M496" i="1"/>
  <c r="G496" i="1"/>
  <c r="G491" i="1"/>
  <c r="G492" i="1"/>
  <c r="G326" i="1" s="1"/>
  <c r="G473" i="1"/>
  <c r="G476" i="1"/>
  <c r="G474" i="1"/>
  <c r="G325" i="1" s="1"/>
  <c r="G477" i="1"/>
  <c r="G442" i="1"/>
  <c r="G440" i="1"/>
  <c r="G443" i="1"/>
  <c r="G441" i="1"/>
  <c r="G323" i="1" s="1"/>
  <c r="G444" i="1"/>
  <c r="P525" i="1"/>
  <c r="M458" i="1"/>
  <c r="M461" i="1"/>
  <c r="M459" i="1"/>
  <c r="M324" i="1" s="1"/>
  <c r="M462" i="1"/>
  <c r="M491" i="1"/>
  <c r="M492" i="1"/>
  <c r="M326" i="1" s="1"/>
  <c r="M473" i="1"/>
  <c r="M476" i="1"/>
  <c r="M474" i="1"/>
  <c r="M325" i="1" s="1"/>
  <c r="M477" i="1"/>
  <c r="M440" i="1"/>
  <c r="M443" i="1"/>
  <c r="M441" i="1"/>
  <c r="M323" i="1" s="1"/>
  <c r="M444" i="1"/>
  <c r="Q514" i="1"/>
  <c r="K514" i="1"/>
  <c r="M460" i="1"/>
  <c r="M445" i="1"/>
  <c r="P440" i="1"/>
  <c r="O578" i="1"/>
  <c r="O332" i="1" s="1"/>
  <c r="O567" i="1"/>
  <c r="O331" i="1" s="1"/>
  <c r="O553" i="1"/>
  <c r="O550" i="1"/>
  <c r="O330" i="1" s="1"/>
  <c r="N578" i="1"/>
  <c r="N332" i="1" s="1"/>
  <c r="J9" i="17" l="1"/>
  <c r="M221" i="1"/>
  <c r="P302" i="1"/>
  <c r="P306" i="1" s="1"/>
  <c r="AC105" i="23"/>
  <c r="G302" i="1"/>
  <c r="G306" i="1" s="1"/>
  <c r="AC98" i="23"/>
  <c r="O302" i="1"/>
  <c r="O306" i="1" s="1"/>
  <c r="AC104" i="23"/>
  <c r="N302" i="1"/>
  <c r="N306" i="1" s="1"/>
  <c r="AC103" i="23"/>
  <c r="M302" i="1"/>
  <c r="M306" i="1" s="1"/>
  <c r="AC102" i="23"/>
  <c r="N333" i="1"/>
  <c r="M333" i="1"/>
  <c r="G333" i="1"/>
  <c r="K333" i="1"/>
  <c r="Q333" i="1"/>
  <c r="P333" i="1"/>
  <c r="R333" i="1"/>
  <c r="O333" i="1"/>
  <c r="L333" i="1"/>
  <c r="K7" i="19" l="1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99" i="19"/>
  <c r="K100" i="19"/>
  <c r="K101" i="19"/>
  <c r="K102" i="19"/>
  <c r="K103" i="19"/>
  <c r="K104" i="19"/>
  <c r="K105" i="19"/>
  <c r="K106" i="19"/>
  <c r="K107" i="19"/>
  <c r="K108" i="19"/>
  <c r="K109" i="19"/>
  <c r="K110" i="19"/>
  <c r="K111" i="19"/>
  <c r="K112" i="19"/>
  <c r="K113" i="19"/>
  <c r="K114" i="19"/>
  <c r="K115" i="19"/>
  <c r="K116" i="19"/>
  <c r="K117" i="19"/>
  <c r="K118" i="19"/>
  <c r="K119" i="19"/>
  <c r="K120" i="19"/>
  <c r="K121" i="19"/>
  <c r="K122" i="19"/>
  <c r="K123" i="19"/>
  <c r="K124" i="19"/>
  <c r="K125" i="19"/>
  <c r="K126" i="19"/>
  <c r="K127" i="19"/>
  <c r="K128" i="19"/>
  <c r="K129" i="19"/>
  <c r="K130" i="19"/>
  <c r="K131" i="19"/>
  <c r="K132" i="19"/>
  <c r="K133" i="19"/>
  <c r="K6" i="19"/>
  <c r="I197" i="1" l="1"/>
  <c r="J197" i="1"/>
  <c r="I198" i="1"/>
  <c r="J198" i="1"/>
  <c r="I199" i="1"/>
  <c r="J199" i="1"/>
  <c r="I174" i="1"/>
  <c r="J174" i="1"/>
  <c r="I175" i="1"/>
  <c r="J175" i="1"/>
  <c r="I200" i="1"/>
  <c r="J200" i="1"/>
  <c r="I201" i="1"/>
  <c r="J201" i="1"/>
  <c r="I202" i="1"/>
  <c r="J202" i="1"/>
  <c r="I176" i="1"/>
  <c r="J176" i="1"/>
  <c r="I203" i="1"/>
  <c r="J203" i="1"/>
  <c r="I177" i="1"/>
  <c r="J177" i="1"/>
  <c r="I204" i="1"/>
  <c r="J204" i="1"/>
  <c r="I178" i="1"/>
  <c r="J178" i="1"/>
  <c r="I205" i="1"/>
  <c r="J205" i="1"/>
  <c r="I179" i="1"/>
  <c r="J179" i="1"/>
  <c r="I206" i="1"/>
  <c r="J206" i="1"/>
  <c r="I207" i="1"/>
  <c r="J207" i="1"/>
  <c r="I208" i="1"/>
  <c r="J208" i="1"/>
  <c r="I180" i="1"/>
  <c r="J180" i="1"/>
  <c r="I209" i="1"/>
  <c r="J209" i="1"/>
  <c r="I181" i="1"/>
  <c r="J181" i="1"/>
  <c r="I210" i="1"/>
  <c r="J210" i="1"/>
  <c r="I182" i="1"/>
  <c r="J182" i="1"/>
  <c r="I183" i="1"/>
  <c r="J183" i="1"/>
  <c r="I211" i="1"/>
  <c r="J211" i="1"/>
  <c r="I212" i="1"/>
  <c r="J212" i="1"/>
  <c r="I213" i="1"/>
  <c r="J213" i="1"/>
  <c r="I184" i="1"/>
  <c r="J184" i="1"/>
  <c r="I214" i="1"/>
  <c r="J214" i="1"/>
  <c r="I185" i="1"/>
  <c r="J185" i="1"/>
  <c r="F197" i="1"/>
  <c r="F198" i="1"/>
  <c r="F199" i="1"/>
  <c r="F174" i="1"/>
  <c r="F175" i="1"/>
  <c r="F200" i="1"/>
  <c r="F201" i="1"/>
  <c r="F202" i="1"/>
  <c r="F176" i="1"/>
  <c r="F203" i="1"/>
  <c r="F177" i="1"/>
  <c r="F204" i="1"/>
  <c r="F178" i="1"/>
  <c r="F205" i="1"/>
  <c r="F179" i="1"/>
  <c r="F206" i="1"/>
  <c r="F207" i="1"/>
  <c r="F208" i="1"/>
  <c r="F180" i="1"/>
  <c r="F209" i="1"/>
  <c r="F181" i="1"/>
  <c r="F210" i="1"/>
  <c r="F182" i="1"/>
  <c r="F183" i="1"/>
  <c r="F211" i="1"/>
  <c r="F212" i="1"/>
  <c r="F213" i="1"/>
  <c r="E21" i="25"/>
  <c r="F184" i="1"/>
  <c r="F214" i="1"/>
  <c r="F185" i="1"/>
  <c r="E19" i="25" l="1"/>
  <c r="E17" i="25"/>
  <c r="E13" i="25"/>
  <c r="E11" i="25"/>
  <c r="E10" i="25"/>
  <c r="E16" i="25"/>
  <c r="E23" i="25"/>
  <c r="E8" i="25"/>
  <c r="E24" i="25"/>
  <c r="E22" i="25"/>
  <c r="E18" i="25"/>
  <c r="E14" i="25"/>
  <c r="E9" i="25"/>
  <c r="E7" i="25"/>
  <c r="E5" i="25"/>
  <c r="E15" i="25"/>
  <c r="E12" i="25"/>
  <c r="E20" i="25"/>
  <c r="E6" i="25"/>
  <c r="F196" i="1"/>
  <c r="F215" i="1" s="1"/>
  <c r="AC96" i="23" s="1"/>
  <c r="F315" i="1"/>
  <c r="H315" i="1" s="1"/>
  <c r="J196" i="1"/>
  <c r="J219" i="1" s="1"/>
  <c r="J315" i="1"/>
  <c r="I196" i="1"/>
  <c r="I217" i="1" s="1"/>
  <c r="I315" i="1"/>
  <c r="F362" i="1"/>
  <c r="I425" i="1"/>
  <c r="I399" i="1"/>
  <c r="F453" i="1"/>
  <c r="F471" i="1"/>
  <c r="F451" i="1"/>
  <c r="F408" i="1"/>
  <c r="F489" i="1"/>
  <c r="F439" i="1"/>
  <c r="F450" i="1"/>
  <c r="F407" i="1"/>
  <c r="F406" i="1"/>
  <c r="F342" i="1"/>
  <c r="F376" i="1"/>
  <c r="F375" i="1"/>
  <c r="F401" i="1"/>
  <c r="F400" i="1"/>
  <c r="F339" i="1"/>
  <c r="F354" i="1"/>
  <c r="F398" i="1"/>
  <c r="F469" i="1"/>
  <c r="F394" i="1"/>
  <c r="F392" i="1"/>
  <c r="F388" i="1"/>
  <c r="F468" i="1"/>
  <c r="J409" i="1"/>
  <c r="J407" i="1"/>
  <c r="J425" i="1"/>
  <c r="J490" i="1"/>
  <c r="J360" i="1"/>
  <c r="J454" i="1"/>
  <c r="J341" i="1"/>
  <c r="J403" i="1"/>
  <c r="J358" i="1"/>
  <c r="J438" i="1"/>
  <c r="J357" i="1"/>
  <c r="J437" i="1"/>
  <c r="J399" i="1"/>
  <c r="J355" i="1"/>
  <c r="J435" i="1"/>
  <c r="J352" i="1"/>
  <c r="J397" i="1"/>
  <c r="J449" i="1"/>
  <c r="J396" i="1"/>
  <c r="J420" i="1"/>
  <c r="J372" i="1"/>
  <c r="J434" i="1"/>
  <c r="J337" i="1"/>
  <c r="J389" i="1"/>
  <c r="J558" i="1"/>
  <c r="J448" i="1"/>
  <c r="J467" i="1"/>
  <c r="F374" i="1"/>
  <c r="F483" i="1"/>
  <c r="I360" i="1"/>
  <c r="I341" i="1"/>
  <c r="I358" i="1"/>
  <c r="I437" i="1"/>
  <c r="I355" i="1"/>
  <c r="I435" i="1"/>
  <c r="I352" i="1"/>
  <c r="I397" i="1"/>
  <c r="I449" i="1"/>
  <c r="I396" i="1"/>
  <c r="I420" i="1"/>
  <c r="I372" i="1"/>
  <c r="I434" i="1"/>
  <c r="I337" i="1"/>
  <c r="I389" i="1"/>
  <c r="I558" i="1"/>
  <c r="I448" i="1"/>
  <c r="I467" i="1"/>
  <c r="F409" i="1"/>
  <c r="F425" i="1"/>
  <c r="F360" i="1"/>
  <c r="F454" i="1"/>
  <c r="F341" i="1"/>
  <c r="F438" i="1"/>
  <c r="F437" i="1"/>
  <c r="F435" i="1"/>
  <c r="F397" i="1"/>
  <c r="F396" i="1"/>
  <c r="F372" i="1"/>
  <c r="F434" i="1"/>
  <c r="F337" i="1"/>
  <c r="F558" i="1"/>
  <c r="F448" i="1"/>
  <c r="J406" i="1"/>
  <c r="J361" i="1"/>
  <c r="J342" i="1"/>
  <c r="J424" i="1"/>
  <c r="J453" i="1"/>
  <c r="J376" i="1"/>
  <c r="J405" i="1"/>
  <c r="J402" i="1"/>
  <c r="J375" i="1"/>
  <c r="J471" i="1"/>
  <c r="J401" i="1"/>
  <c r="J423" i="1"/>
  <c r="J400" i="1"/>
  <c r="J339" i="1"/>
  <c r="J373" i="1"/>
  <c r="J451" i="1"/>
  <c r="J354" i="1"/>
  <c r="J421" i="1"/>
  <c r="J398" i="1"/>
  <c r="J470" i="1"/>
  <c r="J469" i="1"/>
  <c r="J394" i="1"/>
  <c r="J393" i="1"/>
  <c r="J392" i="1"/>
  <c r="J388" i="1"/>
  <c r="J386" i="1"/>
  <c r="J468" i="1"/>
  <c r="F472" i="1"/>
  <c r="F419" i="1"/>
  <c r="F387" i="1"/>
  <c r="F351" i="1"/>
  <c r="I490" i="1"/>
  <c r="I438" i="1"/>
  <c r="F424" i="1"/>
  <c r="F402" i="1"/>
  <c r="F373" i="1"/>
  <c r="F470" i="1"/>
  <c r="F393" i="1"/>
  <c r="F386" i="1"/>
  <c r="I406" i="1"/>
  <c r="I361" i="1"/>
  <c r="I342" i="1"/>
  <c r="I424" i="1"/>
  <c r="I453" i="1"/>
  <c r="I376" i="1"/>
  <c r="I405" i="1"/>
  <c r="I402" i="1"/>
  <c r="I375" i="1"/>
  <c r="I471" i="1"/>
  <c r="I401" i="1"/>
  <c r="I423" i="1"/>
  <c r="I400" i="1"/>
  <c r="I339" i="1"/>
  <c r="I373" i="1"/>
  <c r="I451" i="1"/>
  <c r="I354" i="1"/>
  <c r="I421" i="1"/>
  <c r="I398" i="1"/>
  <c r="I470" i="1"/>
  <c r="I469" i="1"/>
  <c r="I394" i="1"/>
  <c r="I393" i="1"/>
  <c r="I392" i="1"/>
  <c r="I388" i="1"/>
  <c r="I386" i="1"/>
  <c r="I468" i="1"/>
  <c r="F486" i="1"/>
  <c r="F353" i="1"/>
  <c r="F371" i="1"/>
  <c r="I407" i="1"/>
  <c r="I454" i="1"/>
  <c r="I403" i="1"/>
  <c r="F532" i="1"/>
  <c r="F359" i="1"/>
  <c r="F404" i="1"/>
  <c r="F356" i="1"/>
  <c r="F436" i="1"/>
  <c r="F395" i="1"/>
  <c r="F338" i="1"/>
  <c r="F390" i="1"/>
  <c r="F418" i="1"/>
  <c r="F385" i="1"/>
  <c r="J457" i="1"/>
  <c r="J532" i="1"/>
  <c r="J472" i="1"/>
  <c r="J408" i="1"/>
  <c r="J362" i="1"/>
  <c r="J455" i="1"/>
  <c r="J359" i="1"/>
  <c r="J489" i="1"/>
  <c r="J452" i="1"/>
  <c r="J404" i="1"/>
  <c r="J439" i="1"/>
  <c r="J486" i="1"/>
  <c r="J374" i="1"/>
  <c r="J356" i="1"/>
  <c r="J340" i="1"/>
  <c r="J422" i="1"/>
  <c r="J436" i="1"/>
  <c r="J353" i="1"/>
  <c r="J450" i="1"/>
  <c r="J483" i="1"/>
  <c r="J395" i="1"/>
  <c r="J419" i="1"/>
  <c r="J338" i="1"/>
  <c r="J391" i="1"/>
  <c r="J390" i="1"/>
  <c r="J387" i="1"/>
  <c r="J418" i="1"/>
  <c r="J371" i="1"/>
  <c r="J385" i="1"/>
  <c r="J351" i="1"/>
  <c r="F457" i="1"/>
  <c r="F340" i="1"/>
  <c r="F391" i="1"/>
  <c r="I409" i="1"/>
  <c r="I357" i="1"/>
  <c r="F361" i="1"/>
  <c r="F405" i="1"/>
  <c r="F423" i="1"/>
  <c r="F421" i="1"/>
  <c r="F455" i="1"/>
  <c r="F452" i="1"/>
  <c r="F422" i="1"/>
  <c r="F490" i="1"/>
  <c r="F403" i="1"/>
  <c r="F358" i="1"/>
  <c r="F357" i="1"/>
  <c r="F399" i="1"/>
  <c r="F355" i="1"/>
  <c r="F352" i="1"/>
  <c r="F449" i="1"/>
  <c r="F420" i="1"/>
  <c r="F389" i="1"/>
  <c r="F467" i="1"/>
  <c r="I457" i="1"/>
  <c r="I532" i="1"/>
  <c r="I472" i="1"/>
  <c r="I408" i="1"/>
  <c r="I362" i="1"/>
  <c r="I455" i="1"/>
  <c r="I359" i="1"/>
  <c r="I489" i="1"/>
  <c r="I452" i="1"/>
  <c r="I404" i="1"/>
  <c r="I439" i="1"/>
  <c r="I486" i="1"/>
  <c r="I374" i="1"/>
  <c r="I356" i="1"/>
  <c r="I340" i="1"/>
  <c r="I422" i="1"/>
  <c r="I436" i="1"/>
  <c r="I353" i="1"/>
  <c r="I450" i="1"/>
  <c r="I483" i="1"/>
  <c r="I395" i="1"/>
  <c r="I419" i="1"/>
  <c r="I338" i="1"/>
  <c r="I391" i="1"/>
  <c r="I390" i="1"/>
  <c r="I387" i="1"/>
  <c r="I418" i="1"/>
  <c r="I371" i="1"/>
  <c r="I385" i="1"/>
  <c r="I351" i="1"/>
  <c r="F466" i="1"/>
  <c r="F316" i="1"/>
  <c r="H316" i="1" s="1"/>
  <c r="F548" i="1"/>
  <c r="F506" i="1"/>
  <c r="F519" i="1"/>
  <c r="F575" i="1"/>
  <c r="F504" i="1"/>
  <c r="F530" i="1"/>
  <c r="F336" i="1"/>
  <c r="J509" i="1"/>
  <c r="J456" i="1"/>
  <c r="J507" i="1"/>
  <c r="J520" i="1"/>
  <c r="J488" i="1"/>
  <c r="J563" i="1"/>
  <c r="J487" i="1"/>
  <c r="J485" i="1"/>
  <c r="J562" i="1"/>
  <c r="J518" i="1"/>
  <c r="J541" i="1"/>
  <c r="J561" i="1"/>
  <c r="J482" i="1"/>
  <c r="J531" i="1"/>
  <c r="J557" i="1"/>
  <c r="F456" i="1"/>
  <c r="F565" i="1"/>
  <c r="F576" i="1"/>
  <c r="F547" i="1"/>
  <c r="F564" i="1"/>
  <c r="F545" i="1"/>
  <c r="F543" i="1"/>
  <c r="F542" i="1"/>
  <c r="F503" i="1"/>
  <c r="F481" i="1"/>
  <c r="I509" i="1"/>
  <c r="I456" i="1"/>
  <c r="I507" i="1"/>
  <c r="I520" i="1"/>
  <c r="I488" i="1"/>
  <c r="I563" i="1"/>
  <c r="I487" i="1"/>
  <c r="I485" i="1"/>
  <c r="I562" i="1"/>
  <c r="I518" i="1"/>
  <c r="I541" i="1"/>
  <c r="I561" i="1"/>
  <c r="I482" i="1"/>
  <c r="I531" i="1"/>
  <c r="I557" i="1"/>
  <c r="F509" i="1"/>
  <c r="F563" i="1"/>
  <c r="F487" i="1"/>
  <c r="F485" i="1"/>
  <c r="F518" i="1"/>
  <c r="F541" i="1"/>
  <c r="I466" i="1"/>
  <c r="I316" i="1"/>
  <c r="J521" i="1"/>
  <c r="J548" i="1"/>
  <c r="J508" i="1"/>
  <c r="J506" i="1"/>
  <c r="J519" i="1"/>
  <c r="J505" i="1"/>
  <c r="J575" i="1"/>
  <c r="J544" i="1"/>
  <c r="J504" i="1"/>
  <c r="J559" i="1"/>
  <c r="J502" i="1"/>
  <c r="J530" i="1"/>
  <c r="J500" i="1"/>
  <c r="J499" i="1"/>
  <c r="J314" i="1"/>
  <c r="J336" i="1"/>
  <c r="F508" i="1"/>
  <c r="F544" i="1"/>
  <c r="F559" i="1"/>
  <c r="F502" i="1"/>
  <c r="F500" i="1"/>
  <c r="F499" i="1"/>
  <c r="F314" i="1"/>
  <c r="J466" i="1"/>
  <c r="J316" i="1"/>
  <c r="I521" i="1"/>
  <c r="I548" i="1"/>
  <c r="I508" i="1"/>
  <c r="I506" i="1"/>
  <c r="I519" i="1"/>
  <c r="I505" i="1"/>
  <c r="I575" i="1"/>
  <c r="I544" i="1"/>
  <c r="I504" i="1"/>
  <c r="I559" i="1"/>
  <c r="I502" i="1"/>
  <c r="I530" i="1"/>
  <c r="I500" i="1"/>
  <c r="I499" i="1"/>
  <c r="I314" i="1"/>
  <c r="I336" i="1"/>
  <c r="F521" i="1"/>
  <c r="F546" i="1"/>
  <c r="F484" i="1"/>
  <c r="F560" i="1"/>
  <c r="F501" i="1"/>
  <c r="J565" i="1"/>
  <c r="J576" i="1"/>
  <c r="J547" i="1"/>
  <c r="J564" i="1"/>
  <c r="J545" i="1"/>
  <c r="J546" i="1"/>
  <c r="J484" i="1"/>
  <c r="J543" i="1"/>
  <c r="J542" i="1"/>
  <c r="J503" i="1"/>
  <c r="J560" i="1"/>
  <c r="J481" i="1"/>
  <c r="J501" i="1"/>
  <c r="F505" i="1"/>
  <c r="F507" i="1"/>
  <c r="F520" i="1"/>
  <c r="F488" i="1"/>
  <c r="F562" i="1"/>
  <c r="F561" i="1"/>
  <c r="F482" i="1"/>
  <c r="F531" i="1"/>
  <c r="F557" i="1"/>
  <c r="I565" i="1"/>
  <c r="I576" i="1"/>
  <c r="I547" i="1"/>
  <c r="I564" i="1"/>
  <c r="I545" i="1"/>
  <c r="I546" i="1"/>
  <c r="I484" i="1"/>
  <c r="I543" i="1"/>
  <c r="I542" i="1"/>
  <c r="I503" i="1"/>
  <c r="I560" i="1"/>
  <c r="I481" i="1"/>
  <c r="I501" i="1"/>
  <c r="Y142" i="21"/>
  <c r="E144" i="19"/>
  <c r="F220" i="1" l="1"/>
  <c r="I219" i="1"/>
  <c r="F216" i="1"/>
  <c r="J7" i="17" s="1"/>
  <c r="F217" i="1"/>
  <c r="I216" i="1"/>
  <c r="I302" i="1" s="1"/>
  <c r="I306" i="1" s="1"/>
  <c r="F218" i="1"/>
  <c r="I220" i="1"/>
  <c r="I215" i="1"/>
  <c r="I218" i="1"/>
  <c r="F219" i="1"/>
  <c r="J217" i="1"/>
  <c r="J220" i="1"/>
  <c r="F534" i="1"/>
  <c r="F329" i="1" s="1"/>
  <c r="J215" i="1"/>
  <c r="J216" i="1"/>
  <c r="J302" i="1" s="1"/>
  <c r="J306" i="1" s="1"/>
  <c r="J218" i="1"/>
  <c r="I536" i="1"/>
  <c r="I534" i="1"/>
  <c r="I329" i="1" s="1"/>
  <c r="F365" i="1"/>
  <c r="I538" i="1"/>
  <c r="I533" i="1"/>
  <c r="I535" i="1"/>
  <c r="J429" i="1"/>
  <c r="I579" i="1"/>
  <c r="I343" i="1"/>
  <c r="I523" i="1"/>
  <c r="I328" i="1" s="1"/>
  <c r="J582" i="1"/>
  <c r="J526" i="1"/>
  <c r="I566" i="1"/>
  <c r="J535" i="1"/>
  <c r="J462" i="1"/>
  <c r="F582" i="1"/>
  <c r="I364" i="1"/>
  <c r="I319" i="1" s="1"/>
  <c r="I415" i="1"/>
  <c r="I461" i="1"/>
  <c r="F477" i="1"/>
  <c r="F463" i="1"/>
  <c r="J413" i="1"/>
  <c r="J440" i="1"/>
  <c r="F429" i="1"/>
  <c r="F380" i="1"/>
  <c r="I426" i="1"/>
  <c r="J382" i="1"/>
  <c r="I478" i="1"/>
  <c r="F345" i="1"/>
  <c r="J579" i="1"/>
  <c r="J550" i="1"/>
  <c r="J330" i="1" s="1"/>
  <c r="F535" i="1"/>
  <c r="I537" i="1"/>
  <c r="F445" i="1"/>
  <c r="F492" i="1"/>
  <c r="H492" i="1" s="1"/>
  <c r="H326" i="1" s="1"/>
  <c r="F579" i="1"/>
  <c r="I578" i="1"/>
  <c r="I332" i="1" s="1"/>
  <c r="J367" i="1"/>
  <c r="I580" i="1"/>
  <c r="J581" i="1"/>
  <c r="F581" i="1"/>
  <c r="I524" i="1"/>
  <c r="F533" i="1"/>
  <c r="J491" i="1"/>
  <c r="F515" i="1"/>
  <c r="I511" i="1"/>
  <c r="I327" i="1" s="1"/>
  <c r="J538" i="1"/>
  <c r="F566" i="1"/>
  <c r="I553" i="1"/>
  <c r="F524" i="1"/>
  <c r="I577" i="1"/>
  <c r="J578" i="1"/>
  <c r="J332" i="1" s="1"/>
  <c r="F578" i="1"/>
  <c r="H578" i="1" s="1"/>
  <c r="H332" i="1" s="1"/>
  <c r="I522" i="1"/>
  <c r="I382" i="1"/>
  <c r="J570" i="1"/>
  <c r="F514" i="1"/>
  <c r="J567" i="1"/>
  <c r="J331" i="1" s="1"/>
  <c r="F554" i="1"/>
  <c r="I569" i="1"/>
  <c r="F431" i="1"/>
  <c r="J580" i="1"/>
  <c r="F343" i="1"/>
  <c r="I581" i="1"/>
  <c r="I526" i="1"/>
  <c r="J525" i="1"/>
  <c r="F580" i="1"/>
  <c r="F577" i="1"/>
  <c r="J577" i="1"/>
  <c r="I493" i="1"/>
  <c r="J476" i="1"/>
  <c r="I380" i="1"/>
  <c r="I445" i="1"/>
  <c r="J348" i="1"/>
  <c r="I571" i="1"/>
  <c r="J496" i="1"/>
  <c r="I474" i="1"/>
  <c r="I325" i="1" s="1"/>
  <c r="F538" i="1"/>
  <c r="J344" i="1"/>
  <c r="J318" i="1" s="1"/>
  <c r="F571" i="1"/>
  <c r="F523" i="1"/>
  <c r="H523" i="1" s="1"/>
  <c r="H328" i="1" s="1"/>
  <c r="I475" i="1"/>
  <c r="I527" i="1"/>
  <c r="F491" i="1"/>
  <c r="I554" i="1"/>
  <c r="I368" i="1"/>
  <c r="J381" i="1"/>
  <c r="J553" i="1"/>
  <c r="I512" i="1"/>
  <c r="F552" i="1"/>
  <c r="I427" i="1"/>
  <c r="I322" i="1" s="1"/>
  <c r="I348" i="1"/>
  <c r="F347" i="1"/>
  <c r="J537" i="1"/>
  <c r="F459" i="1"/>
  <c r="F324" i="1" s="1"/>
  <c r="F363" i="1"/>
  <c r="I414" i="1"/>
  <c r="I460" i="1"/>
  <c r="J463" i="1"/>
  <c r="J431" i="1"/>
  <c r="J363" i="1"/>
  <c r="I567" i="1"/>
  <c r="I331" i="1" s="1"/>
  <c r="J444" i="1"/>
  <c r="F570" i="1"/>
  <c r="J475" i="1"/>
  <c r="F522" i="1"/>
  <c r="F537" i="1"/>
  <c r="F567" i="1"/>
  <c r="F331" i="1" s="1"/>
  <c r="I570" i="1"/>
  <c r="J568" i="1"/>
  <c r="F536" i="1"/>
  <c r="F379" i="1"/>
  <c r="I550" i="1"/>
  <c r="I330" i="1" s="1"/>
  <c r="J513" i="1"/>
  <c r="J510" i="1"/>
  <c r="F412" i="1"/>
  <c r="J414" i="1"/>
  <c r="F476" i="1"/>
  <c r="F444" i="1"/>
  <c r="I443" i="1"/>
  <c r="F413" i="1"/>
  <c r="I513" i="1"/>
  <c r="F550" i="1"/>
  <c r="F330" i="1" s="1"/>
  <c r="J554" i="1"/>
  <c r="F510" i="1"/>
  <c r="I473" i="1"/>
  <c r="J522" i="1"/>
  <c r="I442" i="1"/>
  <c r="I411" i="1"/>
  <c r="I321" i="1" s="1"/>
  <c r="I428" i="1"/>
  <c r="J410" i="1"/>
  <c r="F426" i="1"/>
  <c r="I495" i="1"/>
  <c r="J551" i="1"/>
  <c r="I491" i="1"/>
  <c r="J473" i="1"/>
  <c r="J515" i="1"/>
  <c r="J536" i="1"/>
  <c r="F461" i="1"/>
  <c r="J527" i="1"/>
  <c r="I459" i="1"/>
  <c r="I324" i="1" s="1"/>
  <c r="I441" i="1"/>
  <c r="I323" i="1" s="1"/>
  <c r="F493" i="1"/>
  <c r="J445" i="1"/>
  <c r="I366" i="1"/>
  <c r="I413" i="1"/>
  <c r="I431" i="1"/>
  <c r="J368" i="1"/>
  <c r="J415" i="1"/>
  <c r="J430" i="1"/>
  <c r="F414" i="1"/>
  <c r="J345" i="1"/>
  <c r="F344" i="1"/>
  <c r="H344" i="1" s="1"/>
  <c r="H318" i="1" s="1"/>
  <c r="I345" i="1"/>
  <c r="F377" i="1"/>
  <c r="F569" i="1"/>
  <c r="I582" i="1"/>
  <c r="F549" i="1"/>
  <c r="I568" i="1"/>
  <c r="J571" i="1"/>
  <c r="J495" i="1"/>
  <c r="I514" i="1"/>
  <c r="J478" i="1"/>
  <c r="F512" i="1"/>
  <c r="F474" i="1"/>
  <c r="H474" i="1" s="1"/>
  <c r="H325" i="1" s="1"/>
  <c r="J512" i="1"/>
  <c r="J533" i="1"/>
  <c r="F458" i="1"/>
  <c r="F442" i="1"/>
  <c r="J523" i="1"/>
  <c r="J328" i="1" s="1"/>
  <c r="I462" i="1"/>
  <c r="I444" i="1"/>
  <c r="F495" i="1"/>
  <c r="J460" i="1"/>
  <c r="J442" i="1"/>
  <c r="I363" i="1"/>
  <c r="I410" i="1"/>
  <c r="I377" i="1"/>
  <c r="I430" i="1"/>
  <c r="J365" i="1"/>
  <c r="J412" i="1"/>
  <c r="J379" i="1"/>
  <c r="J427" i="1"/>
  <c r="J322" i="1" s="1"/>
  <c r="F411" i="1"/>
  <c r="F321" i="1" s="1"/>
  <c r="F427" i="1"/>
  <c r="F322" i="1" s="1"/>
  <c r="J347" i="1"/>
  <c r="F346" i="1"/>
  <c r="F368" i="1"/>
  <c r="F382" i="1"/>
  <c r="F551" i="1"/>
  <c r="I552" i="1"/>
  <c r="I494" i="1"/>
  <c r="J493" i="1"/>
  <c r="I515" i="1"/>
  <c r="J477" i="1"/>
  <c r="F511" i="1"/>
  <c r="H511" i="1" s="1"/>
  <c r="H327" i="1" s="1"/>
  <c r="F473" i="1"/>
  <c r="I477" i="1"/>
  <c r="F460" i="1"/>
  <c r="F526" i="1"/>
  <c r="F441" i="1"/>
  <c r="H441" i="1" s="1"/>
  <c r="H323" i="1" s="1"/>
  <c r="J524" i="1"/>
  <c r="I458" i="1"/>
  <c r="I525" i="1"/>
  <c r="I440" i="1"/>
  <c r="J459" i="1"/>
  <c r="J324" i="1" s="1"/>
  <c r="J441" i="1"/>
  <c r="J323" i="1" s="1"/>
  <c r="I365" i="1"/>
  <c r="I412" i="1"/>
  <c r="I379" i="1"/>
  <c r="I429" i="1"/>
  <c r="J364" i="1"/>
  <c r="J319" i="1" s="1"/>
  <c r="J411" i="1"/>
  <c r="J321" i="1" s="1"/>
  <c r="J378" i="1"/>
  <c r="J320" i="1" s="1"/>
  <c r="J426" i="1"/>
  <c r="F410" i="1"/>
  <c r="F428" i="1"/>
  <c r="F348" i="1"/>
  <c r="I346" i="1"/>
  <c r="F367" i="1"/>
  <c r="F381" i="1"/>
  <c r="I510" i="1"/>
  <c r="F496" i="1"/>
  <c r="J343" i="1"/>
  <c r="F553" i="1"/>
  <c r="I549" i="1"/>
  <c r="I496" i="1"/>
  <c r="J492" i="1"/>
  <c r="J326" i="1" s="1"/>
  <c r="J474" i="1"/>
  <c r="J325" i="1" s="1"/>
  <c r="F478" i="1"/>
  <c r="J534" i="1"/>
  <c r="J329" i="1" s="1"/>
  <c r="I476" i="1"/>
  <c r="F462" i="1"/>
  <c r="F527" i="1"/>
  <c r="F443" i="1"/>
  <c r="I463" i="1"/>
  <c r="J461" i="1"/>
  <c r="J443" i="1"/>
  <c r="I367" i="1"/>
  <c r="I381" i="1"/>
  <c r="J366" i="1"/>
  <c r="J380" i="1"/>
  <c r="J428" i="1"/>
  <c r="F415" i="1"/>
  <c r="F430" i="1"/>
  <c r="J346" i="1"/>
  <c r="F364" i="1"/>
  <c r="H364" i="1" s="1"/>
  <c r="H319" i="1" s="1"/>
  <c r="F378" i="1"/>
  <c r="F320" i="1" s="1"/>
  <c r="J566" i="1"/>
  <c r="J549" i="1"/>
  <c r="F568" i="1"/>
  <c r="F513" i="1"/>
  <c r="I378" i="1"/>
  <c r="I320" i="1" s="1"/>
  <c r="F366" i="1"/>
  <c r="J511" i="1"/>
  <c r="J327" i="1" s="1"/>
  <c r="I344" i="1"/>
  <c r="I318" i="1" s="1"/>
  <c r="F475" i="1"/>
  <c r="F440" i="1"/>
  <c r="J458" i="1"/>
  <c r="J377" i="1"/>
  <c r="I551" i="1"/>
  <c r="J514" i="1"/>
  <c r="J494" i="1"/>
  <c r="J552" i="1"/>
  <c r="I492" i="1"/>
  <c r="I326" i="1" s="1"/>
  <c r="F525" i="1"/>
  <c r="F494" i="1"/>
  <c r="I347" i="1"/>
  <c r="I310" i="1"/>
  <c r="J569" i="1"/>
  <c r="F310" i="1"/>
  <c r="H310" i="1" s="1"/>
  <c r="H314" i="1"/>
  <c r="F313" i="1"/>
  <c r="J310" i="1"/>
  <c r="AR40" i="23"/>
  <c r="AR33" i="23"/>
  <c r="AL85" i="23" a="1"/>
  <c r="AL85" i="23" s="1"/>
  <c r="AK85" i="23" a="1"/>
  <c r="AK85" i="23" s="1"/>
  <c r="AI85" i="23" a="1"/>
  <c r="AI85" i="23" s="1"/>
  <c r="AH85" i="23" a="1"/>
  <c r="AH85" i="23" s="1"/>
  <c r="AF85" i="23" a="1"/>
  <c r="AF85" i="23" s="1"/>
  <c r="AE85" i="23" a="1"/>
  <c r="AE85" i="23" s="1"/>
  <c r="AC85" i="23" a="1"/>
  <c r="AC85" i="23" s="1"/>
  <c r="AB85" i="23" a="1"/>
  <c r="AB85" i="23" s="1"/>
  <c r="AL79" i="23" a="1"/>
  <c r="AL79" i="23" s="1"/>
  <c r="AK79" i="23" a="1"/>
  <c r="AK79" i="23" s="1"/>
  <c r="AI79" i="23" a="1"/>
  <c r="AI79" i="23" s="1"/>
  <c r="AH79" i="23" a="1"/>
  <c r="AH79" i="23" s="1"/>
  <c r="AF79" i="23" a="1"/>
  <c r="AF79" i="23" s="1"/>
  <c r="AE79" i="23" a="1"/>
  <c r="AE79" i="23" s="1"/>
  <c r="AC79" i="23" a="1"/>
  <c r="AC79" i="23" s="1"/>
  <c r="AB79" i="23" a="1"/>
  <c r="AB79" i="23" s="1"/>
  <c r="AL62" i="23" a="1"/>
  <c r="AL62" i="23" s="1"/>
  <c r="AK62" i="23" a="1"/>
  <c r="AK62" i="23" s="1"/>
  <c r="AI62" i="23" a="1"/>
  <c r="AI62" i="23" s="1"/>
  <c r="AH62" i="23" a="1"/>
  <c r="AH62" i="23" s="1"/>
  <c r="AF62" i="23" a="1"/>
  <c r="AF62" i="23" s="1"/>
  <c r="AE62" i="23" a="1"/>
  <c r="AE62" i="23" s="1"/>
  <c r="AC62" i="23" a="1"/>
  <c r="AC62" i="23" s="1"/>
  <c r="AB62" i="23" a="1"/>
  <c r="AB62" i="23" s="1"/>
  <c r="AL56" i="23" a="1"/>
  <c r="AL56" i="23" s="1"/>
  <c r="AK56" i="23" a="1"/>
  <c r="AK56" i="23" s="1"/>
  <c r="AI56" i="23" a="1"/>
  <c r="AI56" i="23" s="1"/>
  <c r="AH56" i="23" a="1"/>
  <c r="AH56" i="23" s="1"/>
  <c r="AF56" i="23" a="1"/>
  <c r="AF56" i="23" s="1"/>
  <c r="AE56" i="23" a="1"/>
  <c r="AE56" i="23" s="1"/>
  <c r="AC56" i="23" a="1"/>
  <c r="AC56" i="23" s="1"/>
  <c r="AB56" i="23" a="1"/>
  <c r="AB56" i="23" s="1"/>
  <c r="AK12" i="23" a="1"/>
  <c r="AK12" i="23" s="1"/>
  <c r="AR12" i="23" s="1"/>
  <c r="AR31" i="23"/>
  <c r="AR32" i="23"/>
  <c r="AR34" i="23"/>
  <c r="AR35" i="23"/>
  <c r="AR37" i="23"/>
  <c r="AR38" i="23"/>
  <c r="AR39" i="23"/>
  <c r="AR41" i="23"/>
  <c r="AR42" i="23"/>
  <c r="AR30" i="23"/>
  <c r="AO31" i="23"/>
  <c r="AP31" i="23"/>
  <c r="AO32" i="23"/>
  <c r="AP32" i="23"/>
  <c r="AO33" i="23"/>
  <c r="AP33" i="23"/>
  <c r="AO34" i="23"/>
  <c r="AP34" i="23"/>
  <c r="AO35" i="23"/>
  <c r="AP35" i="23"/>
  <c r="AO37" i="23"/>
  <c r="AP37" i="23"/>
  <c r="AO38" i="23"/>
  <c r="AP38" i="23"/>
  <c r="AO39" i="23"/>
  <c r="AP39" i="23"/>
  <c r="AO40" i="23"/>
  <c r="AP40" i="23"/>
  <c r="AO41" i="23"/>
  <c r="AP41" i="23"/>
  <c r="AO42" i="23"/>
  <c r="AP42" i="23"/>
  <c r="AP30" i="23"/>
  <c r="AK9" i="23" a="1"/>
  <c r="AK9" i="23" s="1"/>
  <c r="AR9" i="23" s="1"/>
  <c r="AK10" i="23" a="1"/>
  <c r="AK10" i="23" s="1"/>
  <c r="AR10" i="23" s="1"/>
  <c r="AK11" i="23" a="1"/>
  <c r="AK11" i="23" s="1"/>
  <c r="AR11" i="23" s="1"/>
  <c r="AK13" i="23" a="1"/>
  <c r="AK13" i="23" s="1"/>
  <c r="AR13" i="23" s="1"/>
  <c r="AK14" i="23" a="1"/>
  <c r="AK14" i="23" s="1"/>
  <c r="AR14" i="23" s="1"/>
  <c r="AK15" i="23" a="1"/>
  <c r="AK15" i="23" s="1"/>
  <c r="AR15" i="23" s="1"/>
  <c r="AK16" i="23" a="1"/>
  <c r="AK16" i="23" s="1"/>
  <c r="AR16" i="23" s="1"/>
  <c r="AK17" i="23" a="1"/>
  <c r="AK17" i="23" s="1"/>
  <c r="AR17" i="23" s="1"/>
  <c r="AK18" i="23" a="1"/>
  <c r="AK18" i="23" s="1"/>
  <c r="AR18" i="23" s="1"/>
  <c r="AK19" i="23" a="1"/>
  <c r="AK19" i="23" s="1"/>
  <c r="AR19" i="23" s="1"/>
  <c r="AK20" i="23" a="1"/>
  <c r="AK20" i="23" s="1"/>
  <c r="AR20" i="23" s="1"/>
  <c r="AP9" i="23"/>
  <c r="AP10" i="23"/>
  <c r="AP11" i="23"/>
  <c r="AP12" i="23"/>
  <c r="AP13" i="23"/>
  <c r="AP14" i="23"/>
  <c r="AP15" i="23"/>
  <c r="AP16" i="23"/>
  <c r="AP17" i="23"/>
  <c r="AP18" i="23"/>
  <c r="AP19" i="23"/>
  <c r="AP20" i="23"/>
  <c r="AO10" i="23"/>
  <c r="AO11" i="23"/>
  <c r="AO12" i="23"/>
  <c r="AO13" i="23"/>
  <c r="AO14" i="23"/>
  <c r="AO15" i="23"/>
  <c r="AO16" i="23"/>
  <c r="AO17" i="23"/>
  <c r="AO18" i="23"/>
  <c r="AO19" i="23"/>
  <c r="AO20" i="23"/>
  <c r="AO9" i="23"/>
  <c r="V139" i="23"/>
  <c r="V138" i="23"/>
  <c r="V137" i="23"/>
  <c r="V136" i="23"/>
  <c r="V135" i="23"/>
  <c r="AC106" i="23"/>
  <c r="AK60" i="23" a="1"/>
  <c r="AK60" i="23" s="1"/>
  <c r="AR57" i="23" s="1"/>
  <c r="AU102" i="23" s="1"/>
  <c r="AL60" i="23" a="1"/>
  <c r="AL60" i="23" s="1"/>
  <c r="AK59" i="23" a="1"/>
  <c r="AK59" i="23" s="1"/>
  <c r="AR56" i="23" s="1"/>
  <c r="AU101" i="23" s="1"/>
  <c r="AL59" i="23" a="1"/>
  <c r="AL59" i="23" s="1"/>
  <c r="AK64" i="23" a="1"/>
  <c r="AK64" i="23" s="1"/>
  <c r="AR55" i="23" s="1"/>
  <c r="AU100" i="23" s="1"/>
  <c r="AL64" i="23" a="1"/>
  <c r="AL64" i="23" s="1"/>
  <c r="AK61" i="23" a="1"/>
  <c r="AK61" i="23" s="1"/>
  <c r="AR54" i="23" s="1"/>
  <c r="AU99" i="23" s="1"/>
  <c r="AL61" i="23" a="1"/>
  <c r="AL61" i="23" s="1"/>
  <c r="AK55" i="23" a="1"/>
  <c r="AK55" i="23" s="1"/>
  <c r="AR53" i="23" s="1"/>
  <c r="AU98" i="23" s="1"/>
  <c r="AL55" i="23" a="1"/>
  <c r="AL55" i="23" s="1"/>
  <c r="AK63" i="23" a="1"/>
  <c r="AK63" i="23" s="1"/>
  <c r="AR52" i="23" s="1"/>
  <c r="AL63" i="23" a="1"/>
  <c r="AL63" i="23" s="1"/>
  <c r="AK84" i="23" a="1"/>
  <c r="AK84" i="23" s="1"/>
  <c r="AR76" i="23" s="1"/>
  <c r="AU96" i="23" s="1"/>
  <c r="AL84" i="23" a="1"/>
  <c r="AL84" i="23" s="1"/>
  <c r="AK78" i="23" a="1"/>
  <c r="AK78" i="23" s="1"/>
  <c r="AR75" i="23" s="1"/>
  <c r="AL78" i="23" a="1"/>
  <c r="AL78" i="23" s="1"/>
  <c r="AB76" i="23" a="1"/>
  <c r="AB76" i="23" s="1"/>
  <c r="AB77" i="23" a="1"/>
  <c r="AB77" i="23" s="1"/>
  <c r="AB78" i="23" a="1"/>
  <c r="AB78" i="23" s="1"/>
  <c r="AB80" i="23" a="1"/>
  <c r="AB80" i="23" s="1"/>
  <c r="AB81" i="23" a="1"/>
  <c r="AB81" i="23" s="1"/>
  <c r="AB82" i="23" a="1"/>
  <c r="AB82" i="23" s="1"/>
  <c r="AB83" i="23" a="1"/>
  <c r="AB83" i="23" s="1"/>
  <c r="AB84" i="23" a="1"/>
  <c r="AB84" i="23" s="1"/>
  <c r="AB86" i="23" a="1"/>
  <c r="AB86" i="23" s="1"/>
  <c r="AB87" i="23" a="1"/>
  <c r="AB87" i="23" s="1"/>
  <c r="AB89" i="23" a="1"/>
  <c r="AB89" i="23" s="1"/>
  <c r="AE76" i="23" a="1"/>
  <c r="AE76" i="23" s="1"/>
  <c r="AE77" i="23" a="1"/>
  <c r="AE77" i="23" s="1"/>
  <c r="AE78" i="23" a="1"/>
  <c r="AE78" i="23" s="1"/>
  <c r="AE80" i="23" a="1"/>
  <c r="AE80" i="23" s="1"/>
  <c r="AE81" i="23" a="1"/>
  <c r="AE81" i="23" s="1"/>
  <c r="AE82" i="23" a="1"/>
  <c r="AE82" i="23" s="1"/>
  <c r="AE83" i="23" a="1"/>
  <c r="AE83" i="23" s="1"/>
  <c r="AE84" i="23" a="1"/>
  <c r="AE84" i="23" s="1"/>
  <c r="AE86" i="23" a="1"/>
  <c r="AE86" i="23" s="1"/>
  <c r="AE87" i="23" a="1"/>
  <c r="AE87" i="23" s="1"/>
  <c r="AE89" i="23" a="1"/>
  <c r="AE89" i="23" s="1"/>
  <c r="AH76" i="23" a="1"/>
  <c r="AH76" i="23" s="1"/>
  <c r="AH77" i="23" a="1"/>
  <c r="AH77" i="23" s="1"/>
  <c r="AH78" i="23" a="1"/>
  <c r="AH78" i="23" s="1"/>
  <c r="AH80" i="23" a="1"/>
  <c r="AH80" i="23" s="1"/>
  <c r="AH81" i="23" a="1"/>
  <c r="AH81" i="23" s="1"/>
  <c r="AH82" i="23" a="1"/>
  <c r="AH82" i="23" s="1"/>
  <c r="AH83" i="23" a="1"/>
  <c r="AH83" i="23" s="1"/>
  <c r="AH84" i="23" a="1"/>
  <c r="AH84" i="23" s="1"/>
  <c r="AH86" i="23" a="1"/>
  <c r="AH86" i="23" s="1"/>
  <c r="AH87" i="23" a="1"/>
  <c r="AH87" i="23" s="1"/>
  <c r="AH89" i="23" a="1"/>
  <c r="AH89" i="23" s="1"/>
  <c r="AK76" i="23" a="1"/>
  <c r="AK76" i="23" s="1"/>
  <c r="AK77" i="23" a="1"/>
  <c r="AK77" i="23" s="1"/>
  <c r="AK80" i="23" a="1"/>
  <c r="AK80" i="23" s="1"/>
  <c r="AK81" i="23" a="1"/>
  <c r="AK81" i="23" s="1"/>
  <c r="AK82" i="23" a="1"/>
  <c r="AK82" i="23" s="1"/>
  <c r="AK83" i="23" a="1"/>
  <c r="AK83" i="23" s="1"/>
  <c r="AK86" i="23" a="1"/>
  <c r="AK86" i="23" s="1"/>
  <c r="AK87" i="23" a="1"/>
  <c r="AK87" i="23" s="1"/>
  <c r="AK89" i="23" a="1"/>
  <c r="AK89" i="23" s="1"/>
  <c r="AI89" i="23" a="1"/>
  <c r="AI89" i="23" s="1"/>
  <c r="AF89" i="23" a="1"/>
  <c r="AF89" i="23" s="1"/>
  <c r="AC89" i="23" a="1"/>
  <c r="AC89" i="23" s="1"/>
  <c r="AL87" i="23" a="1"/>
  <c r="AL87" i="23" s="1"/>
  <c r="AI87" i="23" a="1"/>
  <c r="AI87" i="23" s="1"/>
  <c r="AF87" i="23" a="1"/>
  <c r="AF87" i="23" s="1"/>
  <c r="AC87" i="23" a="1"/>
  <c r="AC87" i="23" s="1"/>
  <c r="Y87" i="23"/>
  <c r="AL86" i="23" a="1"/>
  <c r="AL86" i="23" s="1"/>
  <c r="AI86" i="23" a="1"/>
  <c r="AI86" i="23" s="1"/>
  <c r="AF86" i="23" a="1"/>
  <c r="AF86" i="23" s="1"/>
  <c r="AC86" i="23" a="1"/>
  <c r="AC86" i="23" s="1"/>
  <c r="Y86" i="23"/>
  <c r="Y85" i="23"/>
  <c r="AI84" i="23" a="1"/>
  <c r="AI84" i="23" s="1"/>
  <c r="AF84" i="23" a="1"/>
  <c r="AF84" i="23" s="1"/>
  <c r="AC84" i="23" a="1"/>
  <c r="AC84" i="23" s="1"/>
  <c r="Y84" i="23"/>
  <c r="AL83" i="23" a="1"/>
  <c r="AL83" i="23" s="1"/>
  <c r="AI83" i="23" a="1"/>
  <c r="AI83" i="23" s="1"/>
  <c r="AF83" i="23" a="1"/>
  <c r="AF83" i="23" s="1"/>
  <c r="AC83" i="23" a="1"/>
  <c r="AC83" i="23" s="1"/>
  <c r="Y83" i="23"/>
  <c r="AL82" i="23" a="1"/>
  <c r="AL82" i="23" s="1"/>
  <c r="AI82" i="23" a="1"/>
  <c r="AI82" i="23" s="1"/>
  <c r="AF82" i="23" a="1"/>
  <c r="AF82" i="23" s="1"/>
  <c r="AC82" i="23" a="1"/>
  <c r="AC82" i="23" s="1"/>
  <c r="Y82" i="23"/>
  <c r="AL81" i="23" a="1"/>
  <c r="AL81" i="23" s="1"/>
  <c r="AI81" i="23" a="1"/>
  <c r="AI81" i="23" s="1"/>
  <c r="AF81" i="23" a="1"/>
  <c r="AF81" i="23" s="1"/>
  <c r="AC81" i="23" a="1"/>
  <c r="AC81" i="23" s="1"/>
  <c r="Y81" i="23"/>
  <c r="AL80" i="23" a="1"/>
  <c r="AL80" i="23" s="1"/>
  <c r="AI80" i="23" a="1"/>
  <c r="AI80" i="23" s="1"/>
  <c r="AF80" i="23" a="1"/>
  <c r="AF80" i="23" s="1"/>
  <c r="AC80" i="23" a="1"/>
  <c r="AC80" i="23" s="1"/>
  <c r="Y80" i="23"/>
  <c r="Y79" i="23"/>
  <c r="AI78" i="23" a="1"/>
  <c r="AI78" i="23" s="1"/>
  <c r="AF78" i="23" a="1"/>
  <c r="AF78" i="23" s="1"/>
  <c r="AC78" i="23" a="1"/>
  <c r="AC78" i="23" s="1"/>
  <c r="Y78" i="23"/>
  <c r="AL77" i="23" a="1"/>
  <c r="AL77" i="23" s="1"/>
  <c r="AI77" i="23" a="1"/>
  <c r="AI77" i="23" s="1"/>
  <c r="AF77" i="23" a="1"/>
  <c r="AF77" i="23" s="1"/>
  <c r="AC77" i="23" a="1"/>
  <c r="AC77" i="23" s="1"/>
  <c r="Y77" i="23"/>
  <c r="AL76" i="23" a="1"/>
  <c r="AL76" i="23" s="1"/>
  <c r="AI76" i="23" a="1"/>
  <c r="AI76" i="23" s="1"/>
  <c r="AF76" i="23" a="1"/>
  <c r="AF76" i="23" s="1"/>
  <c r="AC76" i="23" a="1"/>
  <c r="AC76" i="23" s="1"/>
  <c r="Y76" i="23"/>
  <c r="AB53" i="23" a="1"/>
  <c r="AB53" i="23" s="1"/>
  <c r="AB54" i="23" a="1"/>
  <c r="AB54" i="23" s="1"/>
  <c r="AB55" i="23" a="1"/>
  <c r="AB55" i="23" s="1"/>
  <c r="AB57" i="23" a="1"/>
  <c r="AB57" i="23" s="1"/>
  <c r="AB58" i="23" a="1"/>
  <c r="AB58" i="23" s="1"/>
  <c r="AB59" i="23" a="1"/>
  <c r="AB59" i="23" s="1"/>
  <c r="AB60" i="23" a="1"/>
  <c r="AB60" i="23" s="1"/>
  <c r="AB61" i="23" a="1"/>
  <c r="AB61" i="23" s="1"/>
  <c r="AB64" i="23" a="1"/>
  <c r="AB64" i="23" s="1"/>
  <c r="AB66" i="23" a="1"/>
  <c r="AB66" i="23" s="1"/>
  <c r="AE53" i="23" a="1"/>
  <c r="AE53" i="23" s="1"/>
  <c r="AE54" i="23" a="1"/>
  <c r="AE54" i="23" s="1"/>
  <c r="AE55" i="23" a="1"/>
  <c r="AE55" i="23" s="1"/>
  <c r="AE57" i="23" a="1"/>
  <c r="AE57" i="23" s="1"/>
  <c r="AE58" i="23" a="1"/>
  <c r="AE58" i="23" s="1"/>
  <c r="AE59" i="23" a="1"/>
  <c r="AE59" i="23" s="1"/>
  <c r="AE60" i="23" a="1"/>
  <c r="AE60" i="23" s="1"/>
  <c r="AE61" i="23" a="1"/>
  <c r="AE61" i="23" s="1"/>
  <c r="AE63" i="23" a="1"/>
  <c r="AE63" i="23" s="1"/>
  <c r="AE64" i="23" a="1"/>
  <c r="AE64" i="23" s="1"/>
  <c r="AE66" i="23" a="1"/>
  <c r="AE66" i="23" s="1"/>
  <c r="AH53" i="23" a="1"/>
  <c r="AH53" i="23" s="1"/>
  <c r="AH54" i="23" a="1"/>
  <c r="AH54" i="23" s="1"/>
  <c r="AH55" i="23" a="1"/>
  <c r="AH55" i="23" s="1"/>
  <c r="AH57" i="23" a="1"/>
  <c r="AH57" i="23" s="1"/>
  <c r="AH58" i="23" a="1"/>
  <c r="AH58" i="23" s="1"/>
  <c r="AH59" i="23" a="1"/>
  <c r="AH59" i="23" s="1"/>
  <c r="AH60" i="23" a="1"/>
  <c r="AH60" i="23" s="1"/>
  <c r="AH61" i="23" a="1"/>
  <c r="AH61" i="23" s="1"/>
  <c r="AH63" i="23" a="1"/>
  <c r="AH63" i="23" s="1"/>
  <c r="AH64" i="23" a="1"/>
  <c r="AH64" i="23" s="1"/>
  <c r="AH66" i="23" a="1"/>
  <c r="AH66" i="23" s="1"/>
  <c r="AK53" i="23" a="1"/>
  <c r="AK53" i="23" s="1"/>
  <c r="AK54" i="23" a="1"/>
  <c r="AK54" i="23" s="1"/>
  <c r="AK57" i="23" a="1"/>
  <c r="AK57" i="23" s="1"/>
  <c r="AK58" i="23" a="1"/>
  <c r="AK58" i="23" s="1"/>
  <c r="AK66" i="23" a="1"/>
  <c r="AK66" i="23" s="1"/>
  <c r="AI66" i="23" a="1"/>
  <c r="AI66" i="23" s="1"/>
  <c r="AF66" i="23" a="1"/>
  <c r="AF66" i="23" s="1"/>
  <c r="AC66" i="23" a="1"/>
  <c r="AC66" i="23" s="1"/>
  <c r="AI64" i="23" a="1"/>
  <c r="AI64" i="23" s="1"/>
  <c r="AF64" i="23" a="1"/>
  <c r="AF64" i="23" s="1"/>
  <c r="AC64" i="23" a="1"/>
  <c r="AC64" i="23" s="1"/>
  <c r="Y64" i="23"/>
  <c r="AI63" i="23" a="1"/>
  <c r="AI63" i="23" s="1"/>
  <c r="AF63" i="23" a="1"/>
  <c r="AF63" i="23" s="1"/>
  <c r="AC63" i="23" a="1"/>
  <c r="AC63" i="23" s="1"/>
  <c r="Y63" i="23"/>
  <c r="Y62" i="23"/>
  <c r="AI61" i="23" a="1"/>
  <c r="AI61" i="23" s="1"/>
  <c r="AF61" i="23" a="1"/>
  <c r="AF61" i="23" s="1"/>
  <c r="AC61" i="23" a="1"/>
  <c r="AC61" i="23" s="1"/>
  <c r="Y61" i="23"/>
  <c r="AI60" i="23" a="1"/>
  <c r="AI60" i="23" s="1"/>
  <c r="AF60" i="23" a="1"/>
  <c r="AF60" i="23" s="1"/>
  <c r="AC60" i="23" a="1"/>
  <c r="AC60" i="23" s="1"/>
  <c r="Y60" i="23"/>
  <c r="AI59" i="23" a="1"/>
  <c r="AI59" i="23" s="1"/>
  <c r="AF59" i="23" a="1"/>
  <c r="AF59" i="23" s="1"/>
  <c r="AC59" i="23" a="1"/>
  <c r="AC59" i="23" s="1"/>
  <c r="Y59" i="23"/>
  <c r="AL58" i="23" a="1"/>
  <c r="AL58" i="23" s="1"/>
  <c r="AI58" i="23" a="1"/>
  <c r="AI58" i="23" s="1"/>
  <c r="AF58" i="23" a="1"/>
  <c r="AF58" i="23" s="1"/>
  <c r="AC58" i="23" a="1"/>
  <c r="AC58" i="23" s="1"/>
  <c r="Y58" i="23"/>
  <c r="AL57" i="23" a="1"/>
  <c r="AL57" i="23" s="1"/>
  <c r="AI57" i="23" a="1"/>
  <c r="AI57" i="23" s="1"/>
  <c r="AF57" i="23" a="1"/>
  <c r="AF57" i="23" s="1"/>
  <c r="AC57" i="23" a="1"/>
  <c r="AC57" i="23" s="1"/>
  <c r="Y57" i="23"/>
  <c r="Y56" i="23"/>
  <c r="AI55" i="23" a="1"/>
  <c r="AI55" i="23" s="1"/>
  <c r="AF55" i="23" a="1"/>
  <c r="AF55" i="23" s="1"/>
  <c r="AC55" i="23" a="1"/>
  <c r="AC55" i="23" s="1"/>
  <c r="Y55" i="23"/>
  <c r="AL54" i="23" a="1"/>
  <c r="AL54" i="23" s="1"/>
  <c r="AI54" i="23" a="1"/>
  <c r="AI54" i="23" s="1"/>
  <c r="AF54" i="23" a="1"/>
  <c r="AF54" i="23" s="1"/>
  <c r="AC54" i="23" a="1"/>
  <c r="AC54" i="23" s="1"/>
  <c r="Y54" i="23"/>
  <c r="AL53" i="23" a="1"/>
  <c r="AL53" i="23" s="1"/>
  <c r="AI53" i="23" a="1"/>
  <c r="AI53" i="23" s="1"/>
  <c r="AF53" i="23" a="1"/>
  <c r="AF53" i="23" s="1"/>
  <c r="AC53" i="23" a="1"/>
  <c r="AC53" i="23" s="1"/>
  <c r="Y53" i="23"/>
  <c r="Y43" i="23"/>
  <c r="Y42" i="23"/>
  <c r="Y41" i="23"/>
  <c r="Y40" i="23"/>
  <c r="Y39" i="23"/>
  <c r="Y38" i="23"/>
  <c r="Y36" i="23"/>
  <c r="Y35" i="23"/>
  <c r="Y34" i="23"/>
  <c r="Y33" i="23"/>
  <c r="Y32" i="23"/>
  <c r="Y31" i="23"/>
  <c r="AK22" i="23" a="1"/>
  <c r="AK22" i="23" s="1"/>
  <c r="Y20" i="23"/>
  <c r="Y19" i="23"/>
  <c r="Y18" i="23"/>
  <c r="Y17" i="23"/>
  <c r="Y16" i="23"/>
  <c r="Y15" i="23"/>
  <c r="Y13" i="23"/>
  <c r="Y12" i="23"/>
  <c r="Y11" i="23"/>
  <c r="Y10" i="23"/>
  <c r="Y9" i="23"/>
  <c r="L134" i="21"/>
  <c r="O135" i="23"/>
  <c r="P135" i="23" s="1"/>
  <c r="O93" i="22"/>
  <c r="U133" i="22"/>
  <c r="F138" i="19"/>
  <c r="I12" i="17" s="1"/>
  <c r="R137" i="20"/>
  <c r="I25" i="17" s="1"/>
  <c r="F137" i="20"/>
  <c r="F139" i="19"/>
  <c r="J12" i="17" s="1"/>
  <c r="R138" i="20"/>
  <c r="J25" i="17" s="1"/>
  <c r="F138" i="20"/>
  <c r="F140" i="19"/>
  <c r="K12" i="17" s="1"/>
  <c r="R139" i="20"/>
  <c r="K25" i="17" s="1"/>
  <c r="F139" i="20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K107" i="22"/>
  <c r="K108" i="22"/>
  <c r="K109" i="22"/>
  <c r="K110" i="22"/>
  <c r="K111" i="22"/>
  <c r="K112" i="22"/>
  <c r="K113" i="22"/>
  <c r="K114" i="22"/>
  <c r="K115" i="22"/>
  <c r="K116" i="22"/>
  <c r="K117" i="22"/>
  <c r="K118" i="22"/>
  <c r="K119" i="22"/>
  <c r="K120" i="22"/>
  <c r="K121" i="22"/>
  <c r="K122" i="22"/>
  <c r="K123" i="22"/>
  <c r="K124" i="22"/>
  <c r="K125" i="22"/>
  <c r="K126" i="22"/>
  <c r="K127" i="22"/>
  <c r="K128" i="22"/>
  <c r="K129" i="22"/>
  <c r="K130" i="22"/>
  <c r="K131" i="22"/>
  <c r="K132" i="22"/>
  <c r="V7" i="19"/>
  <c r="AF6" i="18" s="1"/>
  <c r="W7" i="19"/>
  <c r="AG6" i="18" s="1"/>
  <c r="X7" i="19"/>
  <c r="H6" i="18" s="1"/>
  <c r="I6" i="18"/>
  <c r="J6" i="18"/>
  <c r="K6" i="18"/>
  <c r="AC6" i="21"/>
  <c r="AD6" i="21"/>
  <c r="AM6" i="18" s="1"/>
  <c r="AE6" i="21"/>
  <c r="N6" i="18" s="1"/>
  <c r="V8" i="19"/>
  <c r="AF7" i="18" s="1"/>
  <c r="W8" i="19"/>
  <c r="AG7" i="18" s="1"/>
  <c r="X8" i="19"/>
  <c r="AH7" i="18" s="1"/>
  <c r="AI7" i="18"/>
  <c r="AJ7" i="18"/>
  <c r="AK7" i="18"/>
  <c r="AC7" i="21"/>
  <c r="AL7" i="18" s="1"/>
  <c r="AD7" i="21"/>
  <c r="AE7" i="21"/>
  <c r="AN7" i="18" s="1"/>
  <c r="V9" i="19"/>
  <c r="F8" i="18" s="1"/>
  <c r="Y8" i="18" s="1"/>
  <c r="W9" i="19"/>
  <c r="AG8" i="18" s="1"/>
  <c r="X9" i="19"/>
  <c r="AH8" i="18" s="1"/>
  <c r="AI8" i="18"/>
  <c r="J8" i="18"/>
  <c r="AK8" i="18"/>
  <c r="AC8" i="21"/>
  <c r="L8" i="18" s="1"/>
  <c r="AC8" i="18" s="1"/>
  <c r="AD8" i="21"/>
  <c r="M8" i="18" s="1"/>
  <c r="AE8" i="21"/>
  <c r="V10" i="19"/>
  <c r="AF9" i="18" s="1"/>
  <c r="W10" i="19"/>
  <c r="G9" i="18" s="1"/>
  <c r="X10" i="19"/>
  <c r="AH9" i="18" s="1"/>
  <c r="AI9" i="18"/>
  <c r="J9" i="18"/>
  <c r="AK9" i="18"/>
  <c r="AC9" i="21"/>
  <c r="AL9" i="18" s="1"/>
  <c r="AD9" i="21"/>
  <c r="M9" i="18" s="1"/>
  <c r="AE9" i="21"/>
  <c r="V11" i="19"/>
  <c r="F10" i="18" s="1"/>
  <c r="Y10" i="18" s="1"/>
  <c r="W11" i="19"/>
  <c r="G10" i="18" s="1"/>
  <c r="X11" i="19"/>
  <c r="H10" i="18" s="1"/>
  <c r="AI10" i="18"/>
  <c r="AJ10" i="18"/>
  <c r="K10" i="18"/>
  <c r="AC10" i="21"/>
  <c r="L10" i="18" s="1"/>
  <c r="AC10" i="18" s="1"/>
  <c r="AD10" i="21"/>
  <c r="M10" i="18" s="1"/>
  <c r="AE10" i="21"/>
  <c r="N10" i="18" s="1"/>
  <c r="V12" i="19"/>
  <c r="F11" i="18" s="1"/>
  <c r="Y11" i="18" s="1"/>
  <c r="W12" i="19"/>
  <c r="AG11" i="18" s="1"/>
  <c r="X12" i="19"/>
  <c r="AH11" i="18" s="1"/>
  <c r="AI11" i="18"/>
  <c r="AJ11" i="18"/>
  <c r="AK11" i="18"/>
  <c r="AC11" i="21"/>
  <c r="AL11" i="18" s="1"/>
  <c r="AD11" i="21"/>
  <c r="AM11" i="18" s="1"/>
  <c r="AE11" i="21"/>
  <c r="N11" i="18" s="1"/>
  <c r="V13" i="19"/>
  <c r="AF12" i="18" s="1"/>
  <c r="W13" i="19"/>
  <c r="AG12" i="18" s="1"/>
  <c r="X13" i="19"/>
  <c r="AH12" i="18" s="1"/>
  <c r="AI12" i="18"/>
  <c r="AJ12" i="18"/>
  <c r="AK12" i="18"/>
  <c r="AC12" i="21"/>
  <c r="L12" i="18" s="1"/>
  <c r="AC12" i="18" s="1"/>
  <c r="AD12" i="21"/>
  <c r="M12" i="18" s="1"/>
  <c r="AE12" i="21"/>
  <c r="N12" i="18" s="1"/>
  <c r="V14" i="19"/>
  <c r="F13" i="18" s="1"/>
  <c r="Y13" i="18" s="1"/>
  <c r="W14" i="19"/>
  <c r="G13" i="18" s="1"/>
  <c r="X14" i="19"/>
  <c r="AH13" i="18" s="1"/>
  <c r="AJ13" i="18"/>
  <c r="AK13" i="18"/>
  <c r="AC13" i="21"/>
  <c r="L13" i="18" s="1"/>
  <c r="AC13" i="18" s="1"/>
  <c r="AD13" i="21"/>
  <c r="M13" i="18" s="1"/>
  <c r="AE13" i="21"/>
  <c r="N13" i="18" s="1"/>
  <c r="V15" i="19"/>
  <c r="AF14" i="18" s="1"/>
  <c r="W15" i="19"/>
  <c r="G14" i="18" s="1"/>
  <c r="X15" i="19"/>
  <c r="H14" i="18" s="1"/>
  <c r="AI14" i="18"/>
  <c r="AJ14" i="18"/>
  <c r="AK14" i="18"/>
  <c r="AC14" i="21"/>
  <c r="L14" i="18" s="1"/>
  <c r="AC14" i="18" s="1"/>
  <c r="AD14" i="21"/>
  <c r="AM14" i="18" s="1"/>
  <c r="AE14" i="21"/>
  <c r="N14" i="18" s="1"/>
  <c r="V16" i="19"/>
  <c r="AF15" i="18" s="1"/>
  <c r="W16" i="19"/>
  <c r="G15" i="18" s="1"/>
  <c r="X16" i="19"/>
  <c r="H15" i="18" s="1"/>
  <c r="I15" i="18"/>
  <c r="AA15" i="18" s="1"/>
  <c r="J15" i="18"/>
  <c r="K15" i="18"/>
  <c r="AC15" i="21"/>
  <c r="AL15" i="18" s="1"/>
  <c r="AD15" i="21"/>
  <c r="AM15" i="18" s="1"/>
  <c r="AE15" i="21"/>
  <c r="AN15" i="18" s="1"/>
  <c r="V17" i="19"/>
  <c r="AF16" i="18" s="1"/>
  <c r="W17" i="19"/>
  <c r="AG16" i="18" s="1"/>
  <c r="X17" i="19"/>
  <c r="AH16" i="18" s="1"/>
  <c r="I16" i="18"/>
  <c r="AA16" i="18" s="1"/>
  <c r="J16" i="18"/>
  <c r="K16" i="18"/>
  <c r="AC16" i="21"/>
  <c r="AD16" i="21"/>
  <c r="M16" i="18" s="1"/>
  <c r="AE16" i="21"/>
  <c r="AN16" i="18" s="1"/>
  <c r="V18" i="19"/>
  <c r="F17" i="18" s="1"/>
  <c r="Y17" i="18" s="1"/>
  <c r="W18" i="19"/>
  <c r="G17" i="18" s="1"/>
  <c r="X18" i="19"/>
  <c r="AH17" i="18" s="1"/>
  <c r="AI17" i="18"/>
  <c r="J17" i="18"/>
  <c r="AK17" i="18"/>
  <c r="AC17" i="21"/>
  <c r="L17" i="18" s="1"/>
  <c r="AC17" i="18" s="1"/>
  <c r="AD17" i="21"/>
  <c r="AM17" i="18" s="1"/>
  <c r="AE17" i="21"/>
  <c r="V19" i="19"/>
  <c r="AF18" i="18" s="1"/>
  <c r="W19" i="19"/>
  <c r="G18" i="18" s="1"/>
  <c r="X19" i="19"/>
  <c r="H18" i="18" s="1"/>
  <c r="AI18" i="18"/>
  <c r="J18" i="18"/>
  <c r="K18" i="18"/>
  <c r="AC18" i="21"/>
  <c r="L18" i="18" s="1"/>
  <c r="AC18" i="18" s="1"/>
  <c r="AD18" i="21"/>
  <c r="AM18" i="18" s="1"/>
  <c r="AE18" i="21"/>
  <c r="N18" i="18" s="1"/>
  <c r="V20" i="19"/>
  <c r="AF19" i="18" s="1"/>
  <c r="W20" i="19"/>
  <c r="G19" i="18" s="1"/>
  <c r="X20" i="19"/>
  <c r="AI19" i="18"/>
  <c r="AJ19" i="18"/>
  <c r="AK19" i="18"/>
  <c r="AC19" i="21"/>
  <c r="L19" i="18" s="1"/>
  <c r="AC19" i="18" s="1"/>
  <c r="AD19" i="21"/>
  <c r="AM19" i="18" s="1"/>
  <c r="AE19" i="21"/>
  <c r="N19" i="18" s="1"/>
  <c r="V21" i="19"/>
  <c r="AF20" i="18" s="1"/>
  <c r="W21" i="19"/>
  <c r="AG20" i="18" s="1"/>
  <c r="X21" i="19"/>
  <c r="AH20" i="18" s="1"/>
  <c r="AI20" i="18"/>
  <c r="AJ20" i="18"/>
  <c r="AK20" i="18"/>
  <c r="AC20" i="21"/>
  <c r="L20" i="18" s="1"/>
  <c r="AC20" i="18" s="1"/>
  <c r="AD20" i="21"/>
  <c r="AM20" i="18" s="1"/>
  <c r="AE20" i="21"/>
  <c r="N20" i="18" s="1"/>
  <c r="V22" i="19"/>
  <c r="F21" i="18" s="1"/>
  <c r="Y21" i="18" s="1"/>
  <c r="W22" i="19"/>
  <c r="G21" i="18" s="1"/>
  <c r="X22" i="19"/>
  <c r="H21" i="18" s="1"/>
  <c r="AI21" i="18"/>
  <c r="AJ21" i="18"/>
  <c r="AK21" i="18"/>
  <c r="AC21" i="21"/>
  <c r="L21" i="18" s="1"/>
  <c r="AC21" i="18" s="1"/>
  <c r="AD21" i="21"/>
  <c r="AM21" i="18" s="1"/>
  <c r="AE21" i="21"/>
  <c r="AN21" i="18" s="1"/>
  <c r="V23" i="19"/>
  <c r="AF22" i="18" s="1"/>
  <c r="W23" i="19"/>
  <c r="G22" i="18" s="1"/>
  <c r="X23" i="19"/>
  <c r="AH22" i="18" s="1"/>
  <c r="I22" i="18"/>
  <c r="AK22" i="18"/>
  <c r="AC22" i="21"/>
  <c r="AL22" i="18" s="1"/>
  <c r="AD22" i="21"/>
  <c r="AM22" i="18" s="1"/>
  <c r="AE22" i="21"/>
  <c r="AN22" i="18" s="1"/>
  <c r="V24" i="19"/>
  <c r="AF23" i="18" s="1"/>
  <c r="W24" i="19"/>
  <c r="G23" i="18" s="1"/>
  <c r="X24" i="19"/>
  <c r="H23" i="18" s="1"/>
  <c r="I23" i="18"/>
  <c r="AA23" i="18" s="1"/>
  <c r="J23" i="18"/>
  <c r="K23" i="18"/>
  <c r="AC23" i="21"/>
  <c r="AL23" i="18" s="1"/>
  <c r="AD23" i="21"/>
  <c r="M23" i="18" s="1"/>
  <c r="AE23" i="21"/>
  <c r="AN23" i="18" s="1"/>
  <c r="V25" i="19"/>
  <c r="AF24" i="18" s="1"/>
  <c r="W25" i="19"/>
  <c r="X25" i="19"/>
  <c r="AH24" i="18" s="1"/>
  <c r="AI24" i="18"/>
  <c r="AJ24" i="18"/>
  <c r="AK24" i="18"/>
  <c r="AC24" i="21"/>
  <c r="AL24" i="18" s="1"/>
  <c r="AD24" i="21"/>
  <c r="AM24" i="18" s="1"/>
  <c r="AE24" i="21"/>
  <c r="AN24" i="18" s="1"/>
  <c r="V26" i="19"/>
  <c r="AF25" i="18" s="1"/>
  <c r="W26" i="19"/>
  <c r="AG25" i="18" s="1"/>
  <c r="X26" i="19"/>
  <c r="H25" i="18" s="1"/>
  <c r="J25" i="18"/>
  <c r="AK25" i="18"/>
  <c r="AC25" i="21"/>
  <c r="AL25" i="18" s="1"/>
  <c r="AD25" i="21"/>
  <c r="AM25" i="18" s="1"/>
  <c r="AE25" i="21"/>
  <c r="AN25" i="18" s="1"/>
  <c r="V27" i="19"/>
  <c r="F26" i="18" s="1"/>
  <c r="W27" i="19"/>
  <c r="AG26" i="18" s="1"/>
  <c r="X27" i="19"/>
  <c r="AH26" i="18" s="1"/>
  <c r="AI26" i="18"/>
  <c r="AJ26" i="18"/>
  <c r="AC26" i="21"/>
  <c r="L26" i="18" s="1"/>
  <c r="AC26" i="18" s="1"/>
  <c r="AD26" i="21"/>
  <c r="M26" i="18" s="1"/>
  <c r="AE26" i="21"/>
  <c r="N26" i="18" s="1"/>
  <c r="V28" i="19"/>
  <c r="AF27" i="18" s="1"/>
  <c r="W28" i="19"/>
  <c r="AG27" i="18" s="1"/>
  <c r="X28" i="19"/>
  <c r="AH27" i="18" s="1"/>
  <c r="AI27" i="18"/>
  <c r="AJ27" i="18"/>
  <c r="AK27" i="18"/>
  <c r="AC27" i="21"/>
  <c r="AL27" i="18" s="1"/>
  <c r="AD27" i="21"/>
  <c r="AM27" i="18" s="1"/>
  <c r="AE27" i="21"/>
  <c r="N27" i="18" s="1"/>
  <c r="V29" i="19"/>
  <c r="AF28" i="18" s="1"/>
  <c r="W29" i="19"/>
  <c r="AG28" i="18" s="1"/>
  <c r="X29" i="19"/>
  <c r="AH28" i="18" s="1"/>
  <c r="AI28" i="18"/>
  <c r="AJ28" i="18"/>
  <c r="AK28" i="18"/>
  <c r="AC28" i="21"/>
  <c r="AL28" i="18" s="1"/>
  <c r="AD28" i="21"/>
  <c r="M28" i="18" s="1"/>
  <c r="AE28" i="21"/>
  <c r="N28" i="18" s="1"/>
  <c r="V30" i="19"/>
  <c r="AF29" i="18" s="1"/>
  <c r="W30" i="19"/>
  <c r="G29" i="18" s="1"/>
  <c r="X30" i="19"/>
  <c r="I29" i="18"/>
  <c r="AA29" i="18" s="1"/>
  <c r="AJ29" i="18"/>
  <c r="AK29" i="18"/>
  <c r="AC29" i="21"/>
  <c r="L29" i="18" s="1"/>
  <c r="AC29" i="18" s="1"/>
  <c r="AD29" i="21"/>
  <c r="AE29" i="21"/>
  <c r="AN29" i="18" s="1"/>
  <c r="V31" i="19"/>
  <c r="AF30" i="18" s="1"/>
  <c r="W31" i="19"/>
  <c r="AG30" i="18" s="1"/>
  <c r="X31" i="19"/>
  <c r="AH30" i="18" s="1"/>
  <c r="AI30" i="18"/>
  <c r="AJ30" i="18"/>
  <c r="AK30" i="18"/>
  <c r="AC30" i="21"/>
  <c r="AL30" i="18" s="1"/>
  <c r="AD30" i="21"/>
  <c r="M30" i="18" s="1"/>
  <c r="AE30" i="21"/>
  <c r="AN30" i="18" s="1"/>
  <c r="V32" i="19"/>
  <c r="F31" i="18" s="1"/>
  <c r="Y31" i="18" s="1"/>
  <c r="W32" i="19"/>
  <c r="G31" i="18" s="1"/>
  <c r="X32" i="19"/>
  <c r="H31" i="18" s="1"/>
  <c r="I31" i="18"/>
  <c r="AJ31" i="18"/>
  <c r="AK31" i="18"/>
  <c r="AC31" i="21"/>
  <c r="L31" i="18" s="1"/>
  <c r="AC31" i="18" s="1"/>
  <c r="AD31" i="21"/>
  <c r="M31" i="18" s="1"/>
  <c r="AE31" i="21"/>
  <c r="AN31" i="18" s="1"/>
  <c r="V33" i="19"/>
  <c r="F32" i="18" s="1"/>
  <c r="Y32" i="18" s="1"/>
  <c r="W33" i="19"/>
  <c r="AG32" i="18" s="1"/>
  <c r="X33" i="19"/>
  <c r="H32" i="18" s="1"/>
  <c r="AI32" i="18"/>
  <c r="AJ32" i="18"/>
  <c r="K32" i="18"/>
  <c r="AC32" i="21"/>
  <c r="AL32" i="18" s="1"/>
  <c r="AD32" i="21"/>
  <c r="M32" i="18" s="1"/>
  <c r="AE32" i="21"/>
  <c r="N32" i="18" s="1"/>
  <c r="V34" i="19"/>
  <c r="AF33" i="18" s="1"/>
  <c r="W34" i="19"/>
  <c r="G33" i="18" s="1"/>
  <c r="X34" i="19"/>
  <c r="H33" i="18" s="1"/>
  <c r="I33" i="18"/>
  <c r="J33" i="18"/>
  <c r="K33" i="18"/>
  <c r="AC33" i="21"/>
  <c r="AL33" i="18" s="1"/>
  <c r="AD33" i="21"/>
  <c r="AE33" i="21"/>
  <c r="AN33" i="18" s="1"/>
  <c r="V35" i="19"/>
  <c r="AF34" i="18" s="1"/>
  <c r="W35" i="19"/>
  <c r="X35" i="19"/>
  <c r="H34" i="18" s="1"/>
  <c r="AI34" i="18"/>
  <c r="J34" i="18"/>
  <c r="K34" i="18"/>
  <c r="AC34" i="21"/>
  <c r="AL34" i="18" s="1"/>
  <c r="AD34" i="21"/>
  <c r="AM34" i="18" s="1"/>
  <c r="AE34" i="21"/>
  <c r="AN34" i="18" s="1"/>
  <c r="V36" i="19"/>
  <c r="AF35" i="18" s="1"/>
  <c r="W36" i="19"/>
  <c r="G35" i="18" s="1"/>
  <c r="X36" i="19"/>
  <c r="AI35" i="18"/>
  <c r="AJ35" i="18"/>
  <c r="AK35" i="18"/>
  <c r="AC35" i="21"/>
  <c r="L35" i="18" s="1"/>
  <c r="AC35" i="18" s="1"/>
  <c r="AD35" i="21"/>
  <c r="M35" i="18" s="1"/>
  <c r="AE35" i="21"/>
  <c r="V37" i="19"/>
  <c r="AF36" i="18" s="1"/>
  <c r="W37" i="19"/>
  <c r="AG36" i="18" s="1"/>
  <c r="X37" i="19"/>
  <c r="H36" i="18" s="1"/>
  <c r="AI36" i="18"/>
  <c r="AJ36" i="18"/>
  <c r="AK36" i="18"/>
  <c r="AC36" i="21"/>
  <c r="L36" i="18" s="1"/>
  <c r="AC36" i="18" s="1"/>
  <c r="AD36" i="21"/>
  <c r="AM36" i="18" s="1"/>
  <c r="AE36" i="21"/>
  <c r="V38" i="19"/>
  <c r="AF37" i="18" s="1"/>
  <c r="W38" i="19"/>
  <c r="AG37" i="18" s="1"/>
  <c r="X38" i="19"/>
  <c r="AH37" i="18" s="1"/>
  <c r="AI37" i="18"/>
  <c r="AJ37" i="18"/>
  <c r="AK37" i="18"/>
  <c r="AC37" i="21"/>
  <c r="AL37" i="18" s="1"/>
  <c r="AD37" i="21"/>
  <c r="M37" i="18" s="1"/>
  <c r="AE37" i="21"/>
  <c r="AN37" i="18" s="1"/>
  <c r="V39" i="19"/>
  <c r="AF38" i="18" s="1"/>
  <c r="W39" i="19"/>
  <c r="AG38" i="18" s="1"/>
  <c r="X39" i="19"/>
  <c r="H38" i="18" s="1"/>
  <c r="I38" i="18"/>
  <c r="AJ38" i="18"/>
  <c r="AK38" i="18"/>
  <c r="AC38" i="21"/>
  <c r="AD38" i="21"/>
  <c r="AM38" i="18" s="1"/>
  <c r="AE38" i="21"/>
  <c r="AN38" i="18" s="1"/>
  <c r="V40" i="19"/>
  <c r="F39" i="18" s="1"/>
  <c r="W40" i="19"/>
  <c r="G39" i="18" s="1"/>
  <c r="X40" i="19"/>
  <c r="H39" i="18" s="1"/>
  <c r="I39" i="18"/>
  <c r="AA39" i="18" s="1"/>
  <c r="AJ39" i="18"/>
  <c r="AK39" i="18"/>
  <c r="AC39" i="21"/>
  <c r="AL39" i="18" s="1"/>
  <c r="AD39" i="21"/>
  <c r="AM39" i="18" s="1"/>
  <c r="AE39" i="21"/>
  <c r="AN39" i="18" s="1"/>
  <c r="V41" i="19"/>
  <c r="W41" i="19"/>
  <c r="G40" i="18" s="1"/>
  <c r="X41" i="19"/>
  <c r="H40" i="18" s="1"/>
  <c r="I40" i="18"/>
  <c r="AA40" i="18" s="1"/>
  <c r="J40" i="18"/>
  <c r="AK40" i="18"/>
  <c r="AC40" i="21"/>
  <c r="AD40" i="21"/>
  <c r="M40" i="18" s="1"/>
  <c r="AE40" i="21"/>
  <c r="AN40" i="18" s="1"/>
  <c r="V42" i="19"/>
  <c r="W42" i="19"/>
  <c r="AG41" i="18" s="1"/>
  <c r="X42" i="19"/>
  <c r="AH41" i="18" s="1"/>
  <c r="I41" i="18"/>
  <c r="AA41" i="18" s="1"/>
  <c r="J41" i="18"/>
  <c r="K41" i="18"/>
  <c r="AC41" i="21"/>
  <c r="L41" i="18" s="1"/>
  <c r="AC41" i="18" s="1"/>
  <c r="AD41" i="21"/>
  <c r="M41" i="18" s="1"/>
  <c r="AE41" i="21"/>
  <c r="N41" i="18" s="1"/>
  <c r="V43" i="19"/>
  <c r="F42" i="18" s="1"/>
  <c r="W43" i="19"/>
  <c r="AG42" i="18" s="1"/>
  <c r="X43" i="19"/>
  <c r="AH42" i="18" s="1"/>
  <c r="I42" i="18"/>
  <c r="AA42" i="18" s="1"/>
  <c r="AJ42" i="18"/>
  <c r="AK42" i="18"/>
  <c r="AC42" i="21"/>
  <c r="L42" i="18" s="1"/>
  <c r="AC42" i="18" s="1"/>
  <c r="AD42" i="21"/>
  <c r="AM42" i="18" s="1"/>
  <c r="AE42" i="21"/>
  <c r="N42" i="18" s="1"/>
  <c r="V44" i="19"/>
  <c r="AF43" i="18" s="1"/>
  <c r="W44" i="19"/>
  <c r="G43" i="18" s="1"/>
  <c r="X44" i="19"/>
  <c r="H43" i="18" s="1"/>
  <c r="AI43" i="18"/>
  <c r="AJ43" i="18"/>
  <c r="K43" i="18"/>
  <c r="AK43" i="18"/>
  <c r="AC43" i="21"/>
  <c r="AD43" i="21"/>
  <c r="AM43" i="18" s="1"/>
  <c r="AE43" i="21"/>
  <c r="AN43" i="18" s="1"/>
  <c r="V45" i="19"/>
  <c r="F44" i="18" s="1"/>
  <c r="Y44" i="18" s="1"/>
  <c r="W45" i="19"/>
  <c r="X45" i="19"/>
  <c r="H44" i="18" s="1"/>
  <c r="AI44" i="18"/>
  <c r="J44" i="18"/>
  <c r="K44" i="18"/>
  <c r="AC44" i="21"/>
  <c r="AL44" i="18" s="1"/>
  <c r="AD44" i="21"/>
  <c r="M44" i="18" s="1"/>
  <c r="AE44" i="21"/>
  <c r="N44" i="18" s="1"/>
  <c r="V46" i="19"/>
  <c r="F45" i="18" s="1"/>
  <c r="Y45" i="18" s="1"/>
  <c r="W46" i="19"/>
  <c r="X46" i="19"/>
  <c r="H45" i="18" s="1"/>
  <c r="AI45" i="18"/>
  <c r="AJ45" i="18"/>
  <c r="AK45" i="18"/>
  <c r="AC45" i="21"/>
  <c r="L45" i="18" s="1"/>
  <c r="AD45" i="21"/>
  <c r="AM45" i="18" s="1"/>
  <c r="AE45" i="21"/>
  <c r="N45" i="18" s="1"/>
  <c r="V47" i="19"/>
  <c r="F46" i="18" s="1"/>
  <c r="Y46" i="18" s="1"/>
  <c r="W47" i="19"/>
  <c r="X47" i="19"/>
  <c r="AH46" i="18" s="1"/>
  <c r="AI46" i="18"/>
  <c r="AJ46" i="18"/>
  <c r="AK46" i="18"/>
  <c r="AC46" i="21"/>
  <c r="AL46" i="18" s="1"/>
  <c r="AD46" i="21"/>
  <c r="AM46" i="18" s="1"/>
  <c r="AE46" i="21"/>
  <c r="AN46" i="18" s="1"/>
  <c r="V48" i="19"/>
  <c r="F47" i="18" s="1"/>
  <c r="W48" i="19"/>
  <c r="G47" i="18" s="1"/>
  <c r="X48" i="19"/>
  <c r="H47" i="18" s="1"/>
  <c r="I47" i="18"/>
  <c r="AA47" i="18" s="1"/>
  <c r="AJ47" i="18"/>
  <c r="AK47" i="18"/>
  <c r="AC47" i="21"/>
  <c r="L47" i="18" s="1"/>
  <c r="AC47" i="18" s="1"/>
  <c r="AD47" i="21"/>
  <c r="AM47" i="18" s="1"/>
  <c r="AE47" i="21"/>
  <c r="AN47" i="18" s="1"/>
  <c r="V49" i="19"/>
  <c r="F48" i="18" s="1"/>
  <c r="Y48" i="18" s="1"/>
  <c r="W49" i="19"/>
  <c r="AG48" i="18" s="1"/>
  <c r="X49" i="19"/>
  <c r="H48" i="18" s="1"/>
  <c r="AI48" i="18"/>
  <c r="AJ48" i="18"/>
  <c r="K48" i="18"/>
  <c r="AC48" i="21"/>
  <c r="AD48" i="21"/>
  <c r="M48" i="18" s="1"/>
  <c r="AE48" i="21"/>
  <c r="AN48" i="18" s="1"/>
  <c r="V50" i="19"/>
  <c r="AF49" i="18" s="1"/>
  <c r="W50" i="19"/>
  <c r="G49" i="18" s="1"/>
  <c r="X50" i="19"/>
  <c r="AH49" i="18" s="1"/>
  <c r="AI49" i="18"/>
  <c r="J49" i="18"/>
  <c r="AC49" i="21"/>
  <c r="AL49" i="18" s="1"/>
  <c r="AD49" i="21"/>
  <c r="AM49" i="18" s="1"/>
  <c r="AE49" i="21"/>
  <c r="AN49" i="18" s="1"/>
  <c r="V51" i="19"/>
  <c r="W51" i="19"/>
  <c r="G50" i="18" s="1"/>
  <c r="X51" i="19"/>
  <c r="AH50" i="18" s="1"/>
  <c r="J50" i="18"/>
  <c r="AK50" i="18"/>
  <c r="AC50" i="21"/>
  <c r="L50" i="18" s="1"/>
  <c r="AC50" i="18" s="1"/>
  <c r="AD50" i="21"/>
  <c r="AM50" i="18" s="1"/>
  <c r="AE50" i="21"/>
  <c r="N50" i="18" s="1"/>
  <c r="V52" i="19"/>
  <c r="F51" i="18" s="1"/>
  <c r="Y51" i="18" s="1"/>
  <c r="W52" i="19"/>
  <c r="G51" i="18" s="1"/>
  <c r="X52" i="19"/>
  <c r="AH51" i="18" s="1"/>
  <c r="I51" i="18"/>
  <c r="J51" i="18"/>
  <c r="K51" i="18"/>
  <c r="AC51" i="21"/>
  <c r="AD51" i="21"/>
  <c r="M51" i="18" s="1"/>
  <c r="AE51" i="21"/>
  <c r="N51" i="18" s="1"/>
  <c r="V53" i="19"/>
  <c r="AF52" i="18" s="1"/>
  <c r="W53" i="19"/>
  <c r="G52" i="18" s="1"/>
  <c r="X53" i="19"/>
  <c r="H52" i="18" s="1"/>
  <c r="AI52" i="18"/>
  <c r="J52" i="18"/>
  <c r="K52" i="18"/>
  <c r="AC52" i="21"/>
  <c r="AL52" i="18" s="1"/>
  <c r="AD52" i="21"/>
  <c r="M52" i="18" s="1"/>
  <c r="AE52" i="21"/>
  <c r="AN52" i="18" s="1"/>
  <c r="V54" i="19"/>
  <c r="AF53" i="18" s="1"/>
  <c r="W54" i="19"/>
  <c r="AG53" i="18" s="1"/>
  <c r="X54" i="19"/>
  <c r="H53" i="18" s="1"/>
  <c r="I53" i="18"/>
  <c r="J53" i="18"/>
  <c r="K53" i="18"/>
  <c r="AC53" i="21"/>
  <c r="AL53" i="18" s="1"/>
  <c r="AD53" i="21"/>
  <c r="AE53" i="21"/>
  <c r="N53" i="18" s="1"/>
  <c r="V55" i="19"/>
  <c r="F54" i="18" s="1"/>
  <c r="Y54" i="18" s="1"/>
  <c r="W55" i="19"/>
  <c r="AG54" i="18" s="1"/>
  <c r="X55" i="19"/>
  <c r="H54" i="18" s="1"/>
  <c r="AI54" i="18"/>
  <c r="J54" i="18"/>
  <c r="AC54" i="21"/>
  <c r="AL54" i="18" s="1"/>
  <c r="AD54" i="21"/>
  <c r="AM54" i="18" s="1"/>
  <c r="AE54" i="21"/>
  <c r="N54" i="18" s="1"/>
  <c r="V56" i="19"/>
  <c r="F55" i="18" s="1"/>
  <c r="Y55" i="18" s="1"/>
  <c r="W56" i="19"/>
  <c r="AG55" i="18" s="1"/>
  <c r="X56" i="19"/>
  <c r="H55" i="18" s="1"/>
  <c r="AI55" i="18"/>
  <c r="AJ55" i="18"/>
  <c r="AK55" i="18"/>
  <c r="AC55" i="21"/>
  <c r="AL55" i="18" s="1"/>
  <c r="AD55" i="21"/>
  <c r="AM55" i="18" s="1"/>
  <c r="AE55" i="21"/>
  <c r="AN55" i="18" s="1"/>
  <c r="V57" i="19"/>
  <c r="AF56" i="18" s="1"/>
  <c r="W57" i="19"/>
  <c r="AG56" i="18" s="1"/>
  <c r="X57" i="19"/>
  <c r="AH56" i="18" s="1"/>
  <c r="I56" i="18"/>
  <c r="AA56" i="18" s="1"/>
  <c r="AJ56" i="18"/>
  <c r="AK56" i="18"/>
  <c r="AC56" i="21"/>
  <c r="L56" i="18" s="1"/>
  <c r="AC56" i="18" s="1"/>
  <c r="AD56" i="21"/>
  <c r="AM56" i="18" s="1"/>
  <c r="AE56" i="21"/>
  <c r="N56" i="18" s="1"/>
  <c r="V58" i="19"/>
  <c r="AF57" i="18" s="1"/>
  <c r="W58" i="19"/>
  <c r="AG57" i="18" s="1"/>
  <c r="X58" i="19"/>
  <c r="AH57" i="18" s="1"/>
  <c r="AJ57" i="18"/>
  <c r="K57" i="18"/>
  <c r="AC57" i="21"/>
  <c r="L57" i="18" s="1"/>
  <c r="AC57" i="18" s="1"/>
  <c r="AD57" i="21"/>
  <c r="M57" i="18" s="1"/>
  <c r="AE57" i="21"/>
  <c r="V59" i="19"/>
  <c r="F58" i="18" s="1"/>
  <c r="Y58" i="18" s="1"/>
  <c r="W59" i="19"/>
  <c r="AG58" i="18" s="1"/>
  <c r="X59" i="19"/>
  <c r="I58" i="18"/>
  <c r="AJ58" i="18"/>
  <c r="AK58" i="18"/>
  <c r="AC58" i="21"/>
  <c r="L58" i="18" s="1"/>
  <c r="AC58" i="18" s="1"/>
  <c r="AD58" i="21"/>
  <c r="AM58" i="18" s="1"/>
  <c r="AE58" i="21"/>
  <c r="N58" i="18" s="1"/>
  <c r="V60" i="19"/>
  <c r="F59" i="18" s="1"/>
  <c r="Y59" i="18" s="1"/>
  <c r="W60" i="19"/>
  <c r="G59" i="18" s="1"/>
  <c r="X60" i="19"/>
  <c r="I59" i="18"/>
  <c r="J59" i="18"/>
  <c r="K59" i="18"/>
  <c r="AC59" i="21"/>
  <c r="L59" i="18" s="1"/>
  <c r="AC59" i="18" s="1"/>
  <c r="AD59" i="21"/>
  <c r="AM59" i="18" s="1"/>
  <c r="AE59" i="21"/>
  <c r="AN59" i="18" s="1"/>
  <c r="V61" i="19"/>
  <c r="AF60" i="18" s="1"/>
  <c r="W61" i="19"/>
  <c r="G60" i="18" s="1"/>
  <c r="X61" i="19"/>
  <c r="AH60" i="18" s="1"/>
  <c r="I60" i="18"/>
  <c r="AA60" i="18" s="1"/>
  <c r="J60" i="18"/>
  <c r="K60" i="18"/>
  <c r="AC60" i="21"/>
  <c r="L60" i="18" s="1"/>
  <c r="AC60" i="18" s="1"/>
  <c r="AD60" i="21"/>
  <c r="AE60" i="21"/>
  <c r="AN60" i="18" s="1"/>
  <c r="V62" i="19"/>
  <c r="F61" i="18" s="1"/>
  <c r="Y61" i="18" s="1"/>
  <c r="W62" i="19"/>
  <c r="AG61" i="18" s="1"/>
  <c r="X62" i="19"/>
  <c r="AH61" i="18" s="1"/>
  <c r="AI61" i="18"/>
  <c r="J61" i="18"/>
  <c r="K61" i="18"/>
  <c r="AC61" i="21"/>
  <c r="L61" i="18" s="1"/>
  <c r="AC61" i="18" s="1"/>
  <c r="AD61" i="21"/>
  <c r="AM61" i="18" s="1"/>
  <c r="AE61" i="21"/>
  <c r="AN61" i="18" s="1"/>
  <c r="V63" i="19"/>
  <c r="AF62" i="18" s="1"/>
  <c r="W63" i="19"/>
  <c r="AG62" i="18" s="1"/>
  <c r="X63" i="19"/>
  <c r="H62" i="18" s="1"/>
  <c r="I62" i="18"/>
  <c r="AA62" i="18" s="1"/>
  <c r="J62" i="18"/>
  <c r="K62" i="18"/>
  <c r="AC62" i="21"/>
  <c r="AL62" i="18" s="1"/>
  <c r="AD62" i="21"/>
  <c r="M62" i="18" s="1"/>
  <c r="AE62" i="21"/>
  <c r="AN62" i="18" s="1"/>
  <c r="V64" i="19"/>
  <c r="AF63" i="18" s="1"/>
  <c r="W64" i="19"/>
  <c r="G63" i="18" s="1"/>
  <c r="X64" i="19"/>
  <c r="H63" i="18" s="1"/>
  <c r="AI63" i="18"/>
  <c r="AJ63" i="18"/>
  <c r="AK63" i="18"/>
  <c r="AC63" i="21"/>
  <c r="AL63" i="18" s="1"/>
  <c r="AD63" i="21"/>
  <c r="AE63" i="21"/>
  <c r="AN63" i="18" s="1"/>
  <c r="V65" i="19"/>
  <c r="AF64" i="18" s="1"/>
  <c r="W65" i="19"/>
  <c r="AG64" i="18" s="1"/>
  <c r="X65" i="19"/>
  <c r="AH64" i="18" s="1"/>
  <c r="AI64" i="18"/>
  <c r="AJ64" i="18"/>
  <c r="K64" i="18"/>
  <c r="AC64" i="21"/>
  <c r="AL64" i="18" s="1"/>
  <c r="AD64" i="21"/>
  <c r="AM64" i="18" s="1"/>
  <c r="AE64" i="21"/>
  <c r="AN64" i="18" s="1"/>
  <c r="V66" i="19"/>
  <c r="AF65" i="18" s="1"/>
  <c r="W66" i="19"/>
  <c r="AG65" i="18" s="1"/>
  <c r="X66" i="19"/>
  <c r="H65" i="18" s="1"/>
  <c r="AI65" i="18"/>
  <c r="AJ65" i="18"/>
  <c r="AK65" i="18"/>
  <c r="AC65" i="21"/>
  <c r="L65" i="18" s="1"/>
  <c r="AC65" i="18" s="1"/>
  <c r="AD65" i="21"/>
  <c r="M65" i="18" s="1"/>
  <c r="AE65" i="21"/>
  <c r="V67" i="19"/>
  <c r="F66" i="18" s="1"/>
  <c r="W67" i="19"/>
  <c r="G66" i="18" s="1"/>
  <c r="X67" i="19"/>
  <c r="H66" i="18" s="1"/>
  <c r="AI66" i="18"/>
  <c r="J66" i="18"/>
  <c r="AK66" i="18"/>
  <c r="AC66" i="21"/>
  <c r="L66" i="18" s="1"/>
  <c r="AC66" i="18" s="1"/>
  <c r="AD66" i="21"/>
  <c r="AM66" i="18" s="1"/>
  <c r="AE66" i="21"/>
  <c r="N66" i="18" s="1"/>
  <c r="V68" i="19"/>
  <c r="F67" i="18" s="1"/>
  <c r="W68" i="19"/>
  <c r="AG67" i="18" s="1"/>
  <c r="X68" i="19"/>
  <c r="AH67" i="18" s="1"/>
  <c r="AI67" i="18"/>
  <c r="K67" i="18"/>
  <c r="AC67" i="21"/>
  <c r="AD67" i="21"/>
  <c r="M67" i="18" s="1"/>
  <c r="AE67" i="21"/>
  <c r="N67" i="18" s="1"/>
  <c r="V69" i="19"/>
  <c r="AF68" i="18" s="1"/>
  <c r="W69" i="19"/>
  <c r="AG68" i="18" s="1"/>
  <c r="X69" i="19"/>
  <c r="H68" i="18" s="1"/>
  <c r="I68" i="18"/>
  <c r="AA68" i="18" s="1"/>
  <c r="J68" i="18"/>
  <c r="K68" i="18"/>
  <c r="AC68" i="21"/>
  <c r="L68" i="18" s="1"/>
  <c r="AC68" i="18" s="1"/>
  <c r="AD68" i="21"/>
  <c r="AM68" i="18" s="1"/>
  <c r="AE68" i="21"/>
  <c r="AN68" i="18" s="1"/>
  <c r="V70" i="19"/>
  <c r="AF69" i="18" s="1"/>
  <c r="W70" i="19"/>
  <c r="G69" i="18" s="1"/>
  <c r="X70" i="19"/>
  <c r="H69" i="18" s="1"/>
  <c r="AI69" i="18"/>
  <c r="AJ69" i="18"/>
  <c r="AK69" i="18"/>
  <c r="AC69" i="21"/>
  <c r="AL69" i="18" s="1"/>
  <c r="AD69" i="21"/>
  <c r="M69" i="18" s="1"/>
  <c r="AE69" i="21"/>
  <c r="AN69" i="18" s="1"/>
  <c r="V71" i="19"/>
  <c r="F70" i="18" s="1"/>
  <c r="W71" i="19"/>
  <c r="G70" i="18" s="1"/>
  <c r="X71" i="19"/>
  <c r="AH70" i="18" s="1"/>
  <c r="AI70" i="18"/>
  <c r="AJ70" i="18"/>
  <c r="AK70" i="18"/>
  <c r="AC70" i="21"/>
  <c r="L70" i="18" s="1"/>
  <c r="AC70" i="18" s="1"/>
  <c r="AD70" i="21"/>
  <c r="AM70" i="18" s="1"/>
  <c r="AE70" i="21"/>
  <c r="AN70" i="18" s="1"/>
  <c r="V72" i="19"/>
  <c r="F71" i="18" s="1"/>
  <c r="W72" i="19"/>
  <c r="AG71" i="18" s="1"/>
  <c r="X72" i="19"/>
  <c r="AH71" i="18" s="1"/>
  <c r="AI71" i="18"/>
  <c r="J71" i="18"/>
  <c r="K71" i="18"/>
  <c r="AC71" i="21"/>
  <c r="L71" i="18" s="1"/>
  <c r="AC71" i="18" s="1"/>
  <c r="AD71" i="21"/>
  <c r="AM71" i="18" s="1"/>
  <c r="AE71" i="21"/>
  <c r="N71" i="18" s="1"/>
  <c r="V73" i="19"/>
  <c r="AF72" i="18" s="1"/>
  <c r="W73" i="19"/>
  <c r="AG72" i="18" s="1"/>
  <c r="X73" i="19"/>
  <c r="AH72" i="18" s="1"/>
  <c r="AI72" i="18"/>
  <c r="AJ72" i="18"/>
  <c r="AC72" i="21"/>
  <c r="L72" i="18" s="1"/>
  <c r="AD72" i="21"/>
  <c r="M72" i="18" s="1"/>
  <c r="AE72" i="21"/>
  <c r="N72" i="18" s="1"/>
  <c r="V74" i="19"/>
  <c r="F73" i="18" s="1"/>
  <c r="Y73" i="18" s="1"/>
  <c r="W74" i="19"/>
  <c r="G73" i="18" s="1"/>
  <c r="X74" i="19"/>
  <c r="AH73" i="18" s="1"/>
  <c r="AI73" i="18"/>
  <c r="AJ73" i="18"/>
  <c r="K73" i="18"/>
  <c r="AC73" i="21"/>
  <c r="AL73" i="18" s="1"/>
  <c r="AD73" i="21"/>
  <c r="M73" i="18" s="1"/>
  <c r="AE73" i="21"/>
  <c r="AN73" i="18" s="1"/>
  <c r="V75" i="19"/>
  <c r="AF74" i="18" s="1"/>
  <c r="W75" i="19"/>
  <c r="X75" i="19"/>
  <c r="H74" i="18" s="1"/>
  <c r="AI74" i="18"/>
  <c r="AJ74" i="18"/>
  <c r="AK74" i="18"/>
  <c r="AC74" i="21"/>
  <c r="AL74" i="18" s="1"/>
  <c r="AD74" i="21"/>
  <c r="AM74" i="18" s="1"/>
  <c r="AE74" i="21"/>
  <c r="V76" i="19"/>
  <c r="F75" i="18" s="1"/>
  <c r="W76" i="19"/>
  <c r="AG75" i="18" s="1"/>
  <c r="X76" i="19"/>
  <c r="AH75" i="18" s="1"/>
  <c r="AI75" i="18"/>
  <c r="AJ75" i="18"/>
  <c r="AK75" i="18"/>
  <c r="AC75" i="21"/>
  <c r="L75" i="18" s="1"/>
  <c r="AC75" i="18" s="1"/>
  <c r="AD75" i="21"/>
  <c r="M75" i="18" s="1"/>
  <c r="AE75" i="21"/>
  <c r="F76" i="18"/>
  <c r="Y76" i="18" s="1"/>
  <c r="W77" i="19"/>
  <c r="AG76" i="18" s="1"/>
  <c r="X77" i="19"/>
  <c r="AH76" i="18" s="1"/>
  <c r="I76" i="18"/>
  <c r="AJ76" i="18"/>
  <c r="AK76" i="18"/>
  <c r="AC76" i="21"/>
  <c r="L76" i="18" s="1"/>
  <c r="AC76" i="18" s="1"/>
  <c r="AD76" i="21"/>
  <c r="AE76" i="21"/>
  <c r="AN76" i="18" s="1"/>
  <c r="V78" i="19"/>
  <c r="AF77" i="18" s="1"/>
  <c r="W78" i="19"/>
  <c r="AG77" i="18" s="1"/>
  <c r="X78" i="19"/>
  <c r="AH77" i="18" s="1"/>
  <c r="I77" i="18"/>
  <c r="J77" i="18"/>
  <c r="K77" i="18"/>
  <c r="AC77" i="21"/>
  <c r="AL77" i="18" s="1"/>
  <c r="AD77" i="21"/>
  <c r="M77" i="18" s="1"/>
  <c r="AE77" i="21"/>
  <c r="N77" i="18" s="1"/>
  <c r="V79" i="19"/>
  <c r="AF78" i="18" s="1"/>
  <c r="W79" i="19"/>
  <c r="AG78" i="18" s="1"/>
  <c r="X79" i="19"/>
  <c r="H78" i="18" s="1"/>
  <c r="I78" i="18"/>
  <c r="AA78" i="18" s="1"/>
  <c r="J78" i="18"/>
  <c r="K78" i="18"/>
  <c r="AC78" i="21"/>
  <c r="L78" i="18" s="1"/>
  <c r="AD78" i="21"/>
  <c r="M78" i="18" s="1"/>
  <c r="AE78" i="21"/>
  <c r="AN78" i="18" s="1"/>
  <c r="V80" i="19"/>
  <c r="AF79" i="18" s="1"/>
  <c r="W80" i="19"/>
  <c r="G79" i="18" s="1"/>
  <c r="X80" i="19"/>
  <c r="H79" i="18" s="1"/>
  <c r="I79" i="18"/>
  <c r="AA79" i="18" s="1"/>
  <c r="J79" i="18"/>
  <c r="K79" i="18"/>
  <c r="AC79" i="21"/>
  <c r="AL79" i="18" s="1"/>
  <c r="AD79" i="21"/>
  <c r="M79" i="18" s="1"/>
  <c r="AE79" i="21"/>
  <c r="N79" i="18" s="1"/>
  <c r="V81" i="19"/>
  <c r="AF80" i="18" s="1"/>
  <c r="W81" i="19"/>
  <c r="AG80" i="18" s="1"/>
  <c r="X81" i="19"/>
  <c r="AH80" i="18" s="1"/>
  <c r="I80" i="18"/>
  <c r="AA80" i="18" s="1"/>
  <c r="J80" i="18"/>
  <c r="K80" i="18"/>
  <c r="AC80" i="21"/>
  <c r="L80" i="18" s="1"/>
  <c r="AD80" i="21"/>
  <c r="AM80" i="18" s="1"/>
  <c r="AE80" i="21"/>
  <c r="AN80" i="18" s="1"/>
  <c r="V82" i="19"/>
  <c r="AF81" i="18" s="1"/>
  <c r="W82" i="19"/>
  <c r="AG81" i="18" s="1"/>
  <c r="X82" i="19"/>
  <c r="AH81" i="18" s="1"/>
  <c r="AI81" i="18"/>
  <c r="AJ81" i="18"/>
  <c r="K81" i="18"/>
  <c r="AC81" i="21"/>
  <c r="L81" i="18" s="1"/>
  <c r="AC81" i="18" s="1"/>
  <c r="AD81" i="21"/>
  <c r="AE81" i="21"/>
  <c r="N81" i="18" s="1"/>
  <c r="V83" i="19"/>
  <c r="AF82" i="18" s="1"/>
  <c r="W83" i="19"/>
  <c r="AG82" i="18" s="1"/>
  <c r="X83" i="19"/>
  <c r="AH82" i="18" s="1"/>
  <c r="AI82" i="18"/>
  <c r="AJ82" i="18"/>
  <c r="AK82" i="18"/>
  <c r="AC82" i="21"/>
  <c r="L82" i="18" s="1"/>
  <c r="AC82" i="18" s="1"/>
  <c r="AD82" i="21"/>
  <c r="M82" i="18" s="1"/>
  <c r="AE82" i="21"/>
  <c r="N82" i="18" s="1"/>
  <c r="AF83" i="18"/>
  <c r="W84" i="19"/>
  <c r="AG83" i="18" s="1"/>
  <c r="X84" i="19"/>
  <c r="H83" i="18" s="1"/>
  <c r="AI83" i="18"/>
  <c r="J83" i="18"/>
  <c r="AK83" i="18"/>
  <c r="AC83" i="21"/>
  <c r="L83" i="18" s="1"/>
  <c r="AC83" i="18" s="1"/>
  <c r="AD83" i="21"/>
  <c r="AM83" i="18" s="1"/>
  <c r="AE83" i="21"/>
  <c r="N83" i="18" s="1"/>
  <c r="V85" i="19"/>
  <c r="F84" i="18" s="1"/>
  <c r="Y84" i="18" s="1"/>
  <c r="W85" i="19"/>
  <c r="G84" i="18" s="1"/>
  <c r="X85" i="19"/>
  <c r="H84" i="18" s="1"/>
  <c r="I84" i="18"/>
  <c r="AJ84" i="18"/>
  <c r="AK84" i="18"/>
  <c r="AC84" i="21"/>
  <c r="AL84" i="18" s="1"/>
  <c r="AD84" i="21"/>
  <c r="AM84" i="18" s="1"/>
  <c r="AE84" i="21"/>
  <c r="AN84" i="18" s="1"/>
  <c r="V86" i="19"/>
  <c r="AF85" i="18" s="1"/>
  <c r="W86" i="19"/>
  <c r="G85" i="18" s="1"/>
  <c r="X86" i="19"/>
  <c r="AH85" i="18" s="1"/>
  <c r="I85" i="18"/>
  <c r="AA85" i="18" s="1"/>
  <c r="J85" i="18"/>
  <c r="AC85" i="21"/>
  <c r="AL85" i="18" s="1"/>
  <c r="AD85" i="21"/>
  <c r="AM85" i="18" s="1"/>
  <c r="AE85" i="21"/>
  <c r="N85" i="18" s="1"/>
  <c r="V87" i="19"/>
  <c r="AF86" i="18" s="1"/>
  <c r="W87" i="19"/>
  <c r="AG86" i="18" s="1"/>
  <c r="X87" i="19"/>
  <c r="H86" i="18" s="1"/>
  <c r="I86" i="18"/>
  <c r="AA86" i="18" s="1"/>
  <c r="J86" i="18"/>
  <c r="K86" i="18"/>
  <c r="AC86" i="21"/>
  <c r="AL86" i="18" s="1"/>
  <c r="AD86" i="21"/>
  <c r="M86" i="18" s="1"/>
  <c r="AE86" i="21"/>
  <c r="N86" i="18" s="1"/>
  <c r="V88" i="19"/>
  <c r="F87" i="18" s="1"/>
  <c r="Y87" i="18" s="1"/>
  <c r="W88" i="19"/>
  <c r="AG87" i="18" s="1"/>
  <c r="X88" i="19"/>
  <c r="AH87" i="18" s="1"/>
  <c r="AI87" i="18"/>
  <c r="J87" i="18"/>
  <c r="AK87" i="18"/>
  <c r="AC87" i="21"/>
  <c r="AL87" i="18" s="1"/>
  <c r="AD87" i="21"/>
  <c r="AM87" i="18" s="1"/>
  <c r="AE87" i="21"/>
  <c r="AN87" i="18" s="1"/>
  <c r="V89" i="19"/>
  <c r="AF88" i="18" s="1"/>
  <c r="W89" i="19"/>
  <c r="AG88" i="18" s="1"/>
  <c r="X89" i="19"/>
  <c r="AH88" i="18" s="1"/>
  <c r="AI88" i="18"/>
  <c r="AJ88" i="18"/>
  <c r="K88" i="18"/>
  <c r="AC88" i="21"/>
  <c r="L88" i="18" s="1"/>
  <c r="AC88" i="18" s="1"/>
  <c r="AD88" i="21"/>
  <c r="AM88" i="18" s="1"/>
  <c r="AE88" i="21"/>
  <c r="AN88" i="18" s="1"/>
  <c r="V90" i="19"/>
  <c r="AF89" i="18" s="1"/>
  <c r="W90" i="19"/>
  <c r="X90" i="19"/>
  <c r="H89" i="18" s="1"/>
  <c r="AI89" i="18"/>
  <c r="AJ89" i="18"/>
  <c r="K89" i="18"/>
  <c r="AC89" i="21"/>
  <c r="L89" i="18" s="1"/>
  <c r="AC89" i="18" s="1"/>
  <c r="AD89" i="21"/>
  <c r="AE89" i="21"/>
  <c r="N89" i="18" s="1"/>
  <c r="V91" i="19"/>
  <c r="F90" i="18" s="1"/>
  <c r="Y90" i="18" s="1"/>
  <c r="W91" i="19"/>
  <c r="X91" i="19"/>
  <c r="AH90" i="18" s="1"/>
  <c r="AI90" i="18"/>
  <c r="AJ90" i="18"/>
  <c r="AK90" i="18"/>
  <c r="AC90" i="21"/>
  <c r="AL90" i="18" s="1"/>
  <c r="AD90" i="21"/>
  <c r="AM90" i="18" s="1"/>
  <c r="AE90" i="21"/>
  <c r="V92" i="19"/>
  <c r="F91" i="18" s="1"/>
  <c r="Y91" i="18" s="1"/>
  <c r="W92" i="19"/>
  <c r="AG91" i="18" s="1"/>
  <c r="X92" i="19"/>
  <c r="AH91" i="18" s="1"/>
  <c r="AI91" i="18"/>
  <c r="J91" i="18"/>
  <c r="AK91" i="18"/>
  <c r="AC91" i="21"/>
  <c r="AL91" i="18" s="1"/>
  <c r="AD91" i="21"/>
  <c r="AM91" i="18" s="1"/>
  <c r="AE91" i="21"/>
  <c r="AN91" i="18" s="1"/>
  <c r="V93" i="19"/>
  <c r="AF92" i="18" s="1"/>
  <c r="W93" i="19"/>
  <c r="AG92" i="18" s="1"/>
  <c r="X93" i="19"/>
  <c r="AH92" i="18" s="1"/>
  <c r="I92" i="18"/>
  <c r="AA92" i="18" s="1"/>
  <c r="AK92" i="18"/>
  <c r="AC92" i="21"/>
  <c r="AL92" i="18" s="1"/>
  <c r="AD92" i="21"/>
  <c r="AM92" i="18" s="1"/>
  <c r="AE92" i="21"/>
  <c r="AN92" i="18" s="1"/>
  <c r="V94" i="19"/>
  <c r="F93" i="18" s="1"/>
  <c r="Y93" i="18" s="1"/>
  <c r="W94" i="19"/>
  <c r="G93" i="18" s="1"/>
  <c r="X94" i="19"/>
  <c r="AH93" i="18" s="1"/>
  <c r="I93" i="18"/>
  <c r="AA93" i="18" s="1"/>
  <c r="J93" i="18"/>
  <c r="AK93" i="18"/>
  <c r="AC93" i="21"/>
  <c r="L93" i="18" s="1"/>
  <c r="AD93" i="21"/>
  <c r="AE93" i="21"/>
  <c r="AN93" i="18" s="1"/>
  <c r="V95" i="19"/>
  <c r="F94" i="18" s="1"/>
  <c r="Y94" i="18" s="1"/>
  <c r="W95" i="19"/>
  <c r="G94" i="18" s="1"/>
  <c r="X95" i="19"/>
  <c r="H94" i="18" s="1"/>
  <c r="AI94" i="18"/>
  <c r="AJ94" i="18"/>
  <c r="AK94" i="18"/>
  <c r="AC94" i="21"/>
  <c r="AD94" i="21"/>
  <c r="M94" i="18" s="1"/>
  <c r="AE94" i="21"/>
  <c r="AN94" i="18" s="1"/>
  <c r="V96" i="19"/>
  <c r="AF95" i="18" s="1"/>
  <c r="W96" i="19"/>
  <c r="G95" i="18" s="1"/>
  <c r="X96" i="19"/>
  <c r="H95" i="18" s="1"/>
  <c r="AI95" i="18"/>
  <c r="AJ95" i="18"/>
  <c r="K95" i="18"/>
  <c r="AC95" i="21"/>
  <c r="AL95" i="18" s="1"/>
  <c r="AD95" i="21"/>
  <c r="M95" i="18" s="1"/>
  <c r="AE95" i="21"/>
  <c r="AN95" i="18" s="1"/>
  <c r="V97" i="19"/>
  <c r="AF96" i="18" s="1"/>
  <c r="W97" i="19"/>
  <c r="G96" i="18" s="1"/>
  <c r="X97" i="19"/>
  <c r="AH96" i="18" s="1"/>
  <c r="AI96" i="18"/>
  <c r="K96" i="18"/>
  <c r="AC96" i="21"/>
  <c r="AL96" i="18" s="1"/>
  <c r="AD96" i="21"/>
  <c r="M96" i="18" s="1"/>
  <c r="AE96" i="21"/>
  <c r="N96" i="18" s="1"/>
  <c r="V98" i="19"/>
  <c r="F97" i="18" s="1"/>
  <c r="Y97" i="18" s="1"/>
  <c r="W98" i="19"/>
  <c r="AG97" i="18" s="1"/>
  <c r="X98" i="19"/>
  <c r="H97" i="18" s="1"/>
  <c r="I97" i="18"/>
  <c r="AA97" i="18" s="1"/>
  <c r="J97" i="18"/>
  <c r="K97" i="18"/>
  <c r="AC97" i="21"/>
  <c r="L97" i="18" s="1"/>
  <c r="AD97" i="21"/>
  <c r="M97" i="18" s="1"/>
  <c r="AE97" i="21"/>
  <c r="N97" i="18" s="1"/>
  <c r="V99" i="19"/>
  <c r="AF98" i="18" s="1"/>
  <c r="W99" i="19"/>
  <c r="AG98" i="18" s="1"/>
  <c r="X99" i="19"/>
  <c r="AH98" i="18" s="1"/>
  <c r="AI98" i="18"/>
  <c r="J98" i="18"/>
  <c r="AK98" i="18"/>
  <c r="AC98" i="21"/>
  <c r="L98" i="18" s="1"/>
  <c r="AD98" i="21"/>
  <c r="AM98" i="18" s="1"/>
  <c r="AE98" i="21"/>
  <c r="N98" i="18" s="1"/>
  <c r="V100" i="19"/>
  <c r="AF99" i="18" s="1"/>
  <c r="W100" i="19"/>
  <c r="AG99" i="18" s="1"/>
  <c r="X100" i="19"/>
  <c r="H99" i="18" s="1"/>
  <c r="AI99" i="18"/>
  <c r="AJ99" i="18"/>
  <c r="AK99" i="18"/>
  <c r="AC99" i="21"/>
  <c r="AL99" i="18" s="1"/>
  <c r="AD99" i="21"/>
  <c r="M99" i="18" s="1"/>
  <c r="AE99" i="21"/>
  <c r="N99" i="18" s="1"/>
  <c r="V101" i="19"/>
  <c r="AF100" i="18" s="1"/>
  <c r="W101" i="19"/>
  <c r="G100" i="18" s="1"/>
  <c r="X101" i="19"/>
  <c r="H100" i="18" s="1"/>
  <c r="AI100" i="18"/>
  <c r="J100" i="18"/>
  <c r="AK100" i="18"/>
  <c r="AC100" i="21"/>
  <c r="AL100" i="18" s="1"/>
  <c r="AD100" i="21"/>
  <c r="AM100" i="18" s="1"/>
  <c r="AE100" i="21"/>
  <c r="AN100" i="18" s="1"/>
  <c r="V102" i="19"/>
  <c r="AF101" i="18" s="1"/>
  <c r="W102" i="19"/>
  <c r="G101" i="18" s="1"/>
  <c r="X102" i="19"/>
  <c r="H101" i="18" s="1"/>
  <c r="I101" i="18"/>
  <c r="J101" i="18"/>
  <c r="AK101" i="18"/>
  <c r="AC101" i="21"/>
  <c r="L101" i="18" s="1"/>
  <c r="AC101" i="18" s="1"/>
  <c r="AD101" i="21"/>
  <c r="M101" i="18" s="1"/>
  <c r="AE101" i="21"/>
  <c r="AN101" i="18" s="1"/>
  <c r="V103" i="19"/>
  <c r="F102" i="18" s="1"/>
  <c r="Y102" i="18" s="1"/>
  <c r="W103" i="19"/>
  <c r="AG102" i="18" s="1"/>
  <c r="X103" i="19"/>
  <c r="AH102" i="18" s="1"/>
  <c r="I102" i="18"/>
  <c r="AA102" i="18" s="1"/>
  <c r="K102" i="18"/>
  <c r="AC102" i="21"/>
  <c r="AL102" i="18" s="1"/>
  <c r="AD102" i="21"/>
  <c r="AM102" i="18" s="1"/>
  <c r="AE102" i="21"/>
  <c r="AN102" i="18" s="1"/>
  <c r="V104" i="19"/>
  <c r="F103" i="18" s="1"/>
  <c r="Y103" i="18" s="1"/>
  <c r="W104" i="19"/>
  <c r="G103" i="18" s="1"/>
  <c r="X104" i="19"/>
  <c r="H103" i="18" s="1"/>
  <c r="I103" i="18"/>
  <c r="J103" i="18"/>
  <c r="AC103" i="21"/>
  <c r="AL103" i="18" s="1"/>
  <c r="AD103" i="21"/>
  <c r="AE103" i="21"/>
  <c r="AN103" i="18" s="1"/>
  <c r="V105" i="19"/>
  <c r="AF104" i="18" s="1"/>
  <c r="W105" i="19"/>
  <c r="G104" i="18" s="1"/>
  <c r="X105" i="19"/>
  <c r="H104" i="18" s="1"/>
  <c r="I104" i="18"/>
  <c r="J104" i="18"/>
  <c r="K104" i="18"/>
  <c r="AC104" i="21"/>
  <c r="AL104" i="18" s="1"/>
  <c r="AD104" i="21"/>
  <c r="AM104" i="18" s="1"/>
  <c r="AE104" i="21"/>
  <c r="N104" i="18" s="1"/>
  <c r="V106" i="19"/>
  <c r="AF105" i="18" s="1"/>
  <c r="W106" i="19"/>
  <c r="AG105" i="18" s="1"/>
  <c r="X106" i="19"/>
  <c r="AH105" i="18" s="1"/>
  <c r="AI105" i="18"/>
  <c r="AJ105" i="18"/>
  <c r="K105" i="18"/>
  <c r="AC105" i="21"/>
  <c r="AL105" i="18" s="1"/>
  <c r="AD105" i="21"/>
  <c r="AE105" i="21"/>
  <c r="AN105" i="18" s="1"/>
  <c r="V107" i="19"/>
  <c r="F106" i="18" s="1"/>
  <c r="Y106" i="18" s="1"/>
  <c r="W107" i="19"/>
  <c r="AG106" i="18" s="1"/>
  <c r="X107" i="19"/>
  <c r="AH106" i="18" s="1"/>
  <c r="I106" i="18"/>
  <c r="AA106" i="18" s="1"/>
  <c r="AJ106" i="18"/>
  <c r="K106" i="18"/>
  <c r="AC106" i="21"/>
  <c r="L106" i="18" s="1"/>
  <c r="AD106" i="21"/>
  <c r="M106" i="18" s="1"/>
  <c r="AE106" i="21"/>
  <c r="N106" i="18" s="1"/>
  <c r="V108" i="19"/>
  <c r="F107" i="18" s="1"/>
  <c r="Y107" i="18" s="1"/>
  <c r="W108" i="19"/>
  <c r="G107" i="18" s="1"/>
  <c r="X108" i="19"/>
  <c r="AH107" i="18" s="1"/>
  <c r="AI107" i="18"/>
  <c r="AJ107" i="18"/>
  <c r="AK107" i="18"/>
  <c r="AC107" i="21"/>
  <c r="AL107" i="18" s="1"/>
  <c r="AD107" i="21"/>
  <c r="AM107" i="18" s="1"/>
  <c r="AE107" i="21"/>
  <c r="AN107" i="18" s="1"/>
  <c r="V109" i="19"/>
  <c r="F108" i="18" s="1"/>
  <c r="W109" i="19"/>
  <c r="AG108" i="18" s="1"/>
  <c r="X109" i="19"/>
  <c r="H108" i="18" s="1"/>
  <c r="AI108" i="18"/>
  <c r="AJ108" i="18"/>
  <c r="AK108" i="18"/>
  <c r="AC108" i="21"/>
  <c r="AL108" i="18" s="1"/>
  <c r="AD108" i="21"/>
  <c r="AM108" i="18" s="1"/>
  <c r="AE108" i="21"/>
  <c r="AN108" i="18" s="1"/>
  <c r="V110" i="19"/>
  <c r="AF109" i="18" s="1"/>
  <c r="W110" i="19"/>
  <c r="AG109" i="18" s="1"/>
  <c r="X110" i="19"/>
  <c r="H109" i="18" s="1"/>
  <c r="I109" i="18"/>
  <c r="AA109" i="18" s="1"/>
  <c r="AJ109" i="18"/>
  <c r="AK109" i="18"/>
  <c r="AC109" i="21"/>
  <c r="AL109" i="18" s="1"/>
  <c r="AD109" i="21"/>
  <c r="AM109" i="18" s="1"/>
  <c r="AE109" i="21"/>
  <c r="AN109" i="18" s="1"/>
  <c r="V111" i="19"/>
  <c r="F110" i="18" s="1"/>
  <c r="Y110" i="18" s="1"/>
  <c r="W111" i="19"/>
  <c r="G110" i="18" s="1"/>
  <c r="X111" i="19"/>
  <c r="AH110" i="18" s="1"/>
  <c r="I110" i="18"/>
  <c r="AA110" i="18" s="1"/>
  <c r="J110" i="18"/>
  <c r="K110" i="18"/>
  <c r="AC110" i="21"/>
  <c r="AD110" i="21"/>
  <c r="AM110" i="18" s="1"/>
  <c r="AE110" i="21"/>
  <c r="N110" i="18" s="1"/>
  <c r="V112" i="19"/>
  <c r="F111" i="18" s="1"/>
  <c r="Y111" i="18" s="1"/>
  <c r="W112" i="19"/>
  <c r="G111" i="18" s="1"/>
  <c r="X112" i="19"/>
  <c r="AH111" i="18" s="1"/>
  <c r="I111" i="18"/>
  <c r="AA111" i="18" s="1"/>
  <c r="J111" i="18"/>
  <c r="AC111" i="21"/>
  <c r="L111" i="18" s="1"/>
  <c r="AC111" i="18" s="1"/>
  <c r="AD111" i="21"/>
  <c r="AE111" i="21"/>
  <c r="AN111" i="18" s="1"/>
  <c r="V113" i="19"/>
  <c r="AF112" i="18" s="1"/>
  <c r="W113" i="19"/>
  <c r="G112" i="18" s="1"/>
  <c r="X113" i="19"/>
  <c r="H112" i="18" s="1"/>
  <c r="I112" i="18"/>
  <c r="AA112" i="18" s="1"/>
  <c r="AJ112" i="18"/>
  <c r="K112" i="18"/>
  <c r="AC112" i="21"/>
  <c r="AD112" i="21"/>
  <c r="M112" i="18" s="1"/>
  <c r="AE112" i="21"/>
  <c r="V114" i="19"/>
  <c r="AF113" i="18" s="1"/>
  <c r="W114" i="19"/>
  <c r="AG113" i="18" s="1"/>
  <c r="X114" i="19"/>
  <c r="H113" i="18" s="1"/>
  <c r="AI113" i="18"/>
  <c r="J113" i="18"/>
  <c r="AK113" i="18"/>
  <c r="AC113" i="21"/>
  <c r="L113" i="18" s="1"/>
  <c r="AC113" i="18" s="1"/>
  <c r="AD113" i="21"/>
  <c r="M113" i="18" s="1"/>
  <c r="AE113" i="21"/>
  <c r="N113" i="18" s="1"/>
  <c r="V115" i="19"/>
  <c r="AF114" i="18" s="1"/>
  <c r="W115" i="19"/>
  <c r="G114" i="18" s="1"/>
  <c r="X115" i="19"/>
  <c r="H114" i="18" s="1"/>
  <c r="I114" i="18"/>
  <c r="AA114" i="18" s="1"/>
  <c r="AJ114" i="18"/>
  <c r="K114" i="18"/>
  <c r="AC114" i="21"/>
  <c r="L114" i="18" s="1"/>
  <c r="AC114" i="18" s="1"/>
  <c r="AD114" i="21"/>
  <c r="M114" i="18" s="1"/>
  <c r="AE114" i="21"/>
  <c r="N114" i="18" s="1"/>
  <c r="V116" i="19"/>
  <c r="F115" i="18" s="1"/>
  <c r="Y115" i="18" s="1"/>
  <c r="W116" i="19"/>
  <c r="G115" i="18" s="1"/>
  <c r="X116" i="19"/>
  <c r="H115" i="18" s="1"/>
  <c r="AI115" i="18"/>
  <c r="J115" i="18"/>
  <c r="K115" i="18"/>
  <c r="AC115" i="21"/>
  <c r="L115" i="18" s="1"/>
  <c r="AC115" i="18" s="1"/>
  <c r="AD115" i="21"/>
  <c r="M115" i="18" s="1"/>
  <c r="AE115" i="21"/>
  <c r="N115" i="18" s="1"/>
  <c r="V117" i="19"/>
  <c r="AF116" i="18" s="1"/>
  <c r="W117" i="19"/>
  <c r="X117" i="19"/>
  <c r="AH116" i="18" s="1"/>
  <c r="AI116" i="18"/>
  <c r="AJ116" i="18"/>
  <c r="AK116" i="18"/>
  <c r="AC116" i="21"/>
  <c r="L116" i="18" s="1"/>
  <c r="AC116" i="18" s="1"/>
  <c r="AD116" i="21"/>
  <c r="AM116" i="18" s="1"/>
  <c r="AE116" i="21"/>
  <c r="AN116" i="18" s="1"/>
  <c r="V118" i="19"/>
  <c r="AF117" i="18" s="1"/>
  <c r="W118" i="19"/>
  <c r="AG117" i="18" s="1"/>
  <c r="X118" i="19"/>
  <c r="H117" i="18" s="1"/>
  <c r="I117" i="18"/>
  <c r="AA117" i="18" s="1"/>
  <c r="J117" i="18"/>
  <c r="AK117" i="18"/>
  <c r="AC117" i="21"/>
  <c r="AL117" i="18" s="1"/>
  <c r="AD117" i="21"/>
  <c r="M117" i="18" s="1"/>
  <c r="AE117" i="21"/>
  <c r="N117" i="18" s="1"/>
  <c r="V119" i="19"/>
  <c r="F118" i="18" s="1"/>
  <c r="W119" i="19"/>
  <c r="AG118" i="18" s="1"/>
  <c r="X119" i="19"/>
  <c r="AH118" i="18" s="1"/>
  <c r="AJ118" i="18"/>
  <c r="K118" i="18"/>
  <c r="AC118" i="21"/>
  <c r="AD118" i="21"/>
  <c r="M118" i="18" s="1"/>
  <c r="AE118" i="21"/>
  <c r="N118" i="18" s="1"/>
  <c r="V120" i="19"/>
  <c r="AF119" i="18" s="1"/>
  <c r="W120" i="19"/>
  <c r="AG119" i="18" s="1"/>
  <c r="X120" i="19"/>
  <c r="I119" i="18"/>
  <c r="AA119" i="18" s="1"/>
  <c r="J119" i="18"/>
  <c r="AK119" i="18"/>
  <c r="AC119" i="21"/>
  <c r="L119" i="18" s="1"/>
  <c r="AC119" i="18" s="1"/>
  <c r="AD119" i="21"/>
  <c r="AM119" i="18" s="1"/>
  <c r="AE119" i="21"/>
  <c r="V121" i="19"/>
  <c r="F120" i="18" s="1"/>
  <c r="Y120" i="18" s="1"/>
  <c r="W121" i="19"/>
  <c r="G120" i="18" s="1"/>
  <c r="X121" i="19"/>
  <c r="AH120" i="18" s="1"/>
  <c r="AI120" i="18"/>
  <c r="J120" i="18"/>
  <c r="AK120" i="18"/>
  <c r="AC120" i="21"/>
  <c r="L120" i="18" s="1"/>
  <c r="AD120" i="21"/>
  <c r="M120" i="18" s="1"/>
  <c r="AE120" i="21"/>
  <c r="AN120" i="18" s="1"/>
  <c r="V122" i="19"/>
  <c r="F121" i="18" s="1"/>
  <c r="Y121" i="18" s="1"/>
  <c r="W122" i="19"/>
  <c r="AG121" i="18" s="1"/>
  <c r="X122" i="19"/>
  <c r="H121" i="18" s="1"/>
  <c r="I121" i="18"/>
  <c r="AA121" i="18" s="1"/>
  <c r="J121" i="18"/>
  <c r="K121" i="18"/>
  <c r="AC121" i="21"/>
  <c r="AD121" i="21"/>
  <c r="M121" i="18" s="1"/>
  <c r="AE121" i="21"/>
  <c r="AN121" i="18" s="1"/>
  <c r="V123" i="19"/>
  <c r="AF122" i="18" s="1"/>
  <c r="W123" i="19"/>
  <c r="AG122" i="18" s="1"/>
  <c r="X123" i="19"/>
  <c r="H122" i="18" s="1"/>
  <c r="AJ122" i="18"/>
  <c r="K122" i="18"/>
  <c r="AC122" i="21"/>
  <c r="AL122" i="18" s="1"/>
  <c r="AD122" i="21"/>
  <c r="AM122" i="18" s="1"/>
  <c r="AE122" i="21"/>
  <c r="AN122" i="18" s="1"/>
  <c r="V124" i="19"/>
  <c r="AF123" i="18" s="1"/>
  <c r="W124" i="19"/>
  <c r="AG123" i="18" s="1"/>
  <c r="X124" i="19"/>
  <c r="AH123" i="18" s="1"/>
  <c r="AI123" i="18"/>
  <c r="J123" i="18"/>
  <c r="AK123" i="18"/>
  <c r="AC123" i="21"/>
  <c r="L123" i="18" s="1"/>
  <c r="AC123" i="18" s="1"/>
  <c r="AD123" i="21"/>
  <c r="AM123" i="18" s="1"/>
  <c r="AE123" i="21"/>
  <c r="AN123" i="18" s="1"/>
  <c r="V125" i="19"/>
  <c r="F124" i="18" s="1"/>
  <c r="Y124" i="18" s="1"/>
  <c r="W125" i="19"/>
  <c r="AG124" i="18" s="1"/>
  <c r="X125" i="19"/>
  <c r="AH124" i="18" s="1"/>
  <c r="AI124" i="18"/>
  <c r="AJ124" i="18"/>
  <c r="K124" i="18"/>
  <c r="AC124" i="21"/>
  <c r="L124" i="18" s="1"/>
  <c r="AD124" i="21"/>
  <c r="AM124" i="18" s="1"/>
  <c r="AE124" i="21"/>
  <c r="AN124" i="18" s="1"/>
  <c r="V126" i="19"/>
  <c r="W126" i="19"/>
  <c r="X126" i="19"/>
  <c r="I125" i="18"/>
  <c r="AA125" i="18" s="1"/>
  <c r="AK125" i="18"/>
  <c r="AC125" i="21"/>
  <c r="AL125" i="18" s="1"/>
  <c r="AD125" i="21"/>
  <c r="AM125" i="18" s="1"/>
  <c r="AE125" i="21"/>
  <c r="N125" i="18" s="1"/>
  <c r="V127" i="19"/>
  <c r="W127" i="19"/>
  <c r="G126" i="18" s="1"/>
  <c r="X127" i="19"/>
  <c r="AH126" i="18" s="1"/>
  <c r="AI126" i="18"/>
  <c r="AJ126" i="18"/>
  <c r="AK126" i="18"/>
  <c r="AC126" i="21"/>
  <c r="AL126" i="18" s="1"/>
  <c r="AD126" i="21"/>
  <c r="M126" i="18" s="1"/>
  <c r="AE126" i="21"/>
  <c r="N126" i="18" s="1"/>
  <c r="V128" i="19"/>
  <c r="F127" i="18" s="1"/>
  <c r="W128" i="19"/>
  <c r="G127" i="18" s="1"/>
  <c r="X128" i="19"/>
  <c r="AH127" i="18" s="1"/>
  <c r="I127" i="18"/>
  <c r="AA127" i="18" s="1"/>
  <c r="J127" i="18"/>
  <c r="K127" i="18"/>
  <c r="AC127" i="21"/>
  <c r="AL127" i="18" s="1"/>
  <c r="AD127" i="21"/>
  <c r="M127" i="18" s="1"/>
  <c r="AE127" i="21"/>
  <c r="N127" i="18" s="1"/>
  <c r="V129" i="19"/>
  <c r="F128" i="18" s="1"/>
  <c r="Y128" i="18" s="1"/>
  <c r="W129" i="19"/>
  <c r="G128" i="18" s="1"/>
  <c r="X129" i="19"/>
  <c r="H128" i="18" s="1"/>
  <c r="I128" i="18"/>
  <c r="AA128" i="18" s="1"/>
  <c r="J128" i="18"/>
  <c r="K128" i="18"/>
  <c r="AC128" i="21"/>
  <c r="AL128" i="18" s="1"/>
  <c r="AD128" i="21"/>
  <c r="AM128" i="18" s="1"/>
  <c r="AE128" i="21"/>
  <c r="AN128" i="18" s="1"/>
  <c r="V130" i="19"/>
  <c r="AF129" i="18" s="1"/>
  <c r="W130" i="19"/>
  <c r="AG129" i="18" s="1"/>
  <c r="X130" i="19"/>
  <c r="H129" i="18" s="1"/>
  <c r="I129" i="18"/>
  <c r="AA129" i="18" s="1"/>
  <c r="J129" i="18"/>
  <c r="K129" i="18"/>
  <c r="AC129" i="21"/>
  <c r="L129" i="18" s="1"/>
  <c r="AC129" i="18" s="1"/>
  <c r="AD129" i="21"/>
  <c r="AE129" i="21"/>
  <c r="AN129" i="18" s="1"/>
  <c r="V131" i="19"/>
  <c r="AF130" i="18" s="1"/>
  <c r="W131" i="19"/>
  <c r="AG130" i="18" s="1"/>
  <c r="X131" i="19"/>
  <c r="AH130" i="18" s="1"/>
  <c r="AI130" i="18"/>
  <c r="AJ130" i="18"/>
  <c r="AK130" i="18"/>
  <c r="AC130" i="21"/>
  <c r="L130" i="18" s="1"/>
  <c r="AD130" i="21"/>
  <c r="M130" i="18" s="1"/>
  <c r="AE130" i="21"/>
  <c r="N130" i="18" s="1"/>
  <c r="V132" i="19"/>
  <c r="F131" i="18" s="1"/>
  <c r="Y131" i="18" s="1"/>
  <c r="W132" i="19"/>
  <c r="AG131" i="18" s="1"/>
  <c r="X132" i="19"/>
  <c r="AH131" i="18" s="1"/>
  <c r="J131" i="18"/>
  <c r="K131" i="18"/>
  <c r="AC131" i="21"/>
  <c r="AL131" i="18" s="1"/>
  <c r="AD131" i="21"/>
  <c r="AE131" i="21"/>
  <c r="N131" i="18" s="1"/>
  <c r="V133" i="19"/>
  <c r="AF132" i="18" s="1"/>
  <c r="W133" i="19"/>
  <c r="AG132" i="18" s="1"/>
  <c r="X133" i="19"/>
  <c r="H132" i="18" s="1"/>
  <c r="AJ132" i="18"/>
  <c r="AK132" i="18"/>
  <c r="AC132" i="21"/>
  <c r="L132" i="18" s="1"/>
  <c r="AC132" i="18" s="1"/>
  <c r="AD132" i="21"/>
  <c r="M132" i="18" s="1"/>
  <c r="AE132" i="21"/>
  <c r="N132" i="18" s="1"/>
  <c r="AD5" i="21"/>
  <c r="AM5" i="18" s="1"/>
  <c r="AJ5" i="18"/>
  <c r="W6" i="19"/>
  <c r="G5" i="18" s="1"/>
  <c r="AC5" i="21"/>
  <c r="AL5" i="18" s="1"/>
  <c r="AI5" i="18"/>
  <c r="V6" i="19"/>
  <c r="F5" i="18" s="1"/>
  <c r="Y5" i="18" s="1"/>
  <c r="AE5" i="21"/>
  <c r="AN5" i="18" s="1"/>
  <c r="AK5" i="18"/>
  <c r="X6" i="19"/>
  <c r="AH5" i="18" s="1"/>
  <c r="Y160" i="21"/>
  <c r="Y151" i="21"/>
  <c r="AF13" i="21"/>
  <c r="AF27" i="21"/>
  <c r="AF30" i="21"/>
  <c r="AA32" i="21"/>
  <c r="AA34" i="21"/>
  <c r="AF44" i="21"/>
  <c r="AF47" i="21"/>
  <c r="AF50" i="21"/>
  <c r="AA92" i="21"/>
  <c r="AF105" i="21"/>
  <c r="AF110" i="21"/>
  <c r="J135" i="21"/>
  <c r="AF23" i="21"/>
  <c r="AF115" i="21"/>
  <c r="AF116" i="21"/>
  <c r="E152" i="19"/>
  <c r="AG8" i="21"/>
  <c r="AG26" i="21"/>
  <c r="AG27" i="21"/>
  <c r="AG28" i="21"/>
  <c r="AG47" i="21"/>
  <c r="AG48" i="21"/>
  <c r="AG67" i="21"/>
  <c r="AG68" i="21"/>
  <c r="AG86" i="21"/>
  <c r="AG87" i="21"/>
  <c r="AG106" i="21"/>
  <c r="AG107" i="21"/>
  <c r="AG108" i="21"/>
  <c r="AG126" i="21"/>
  <c r="AG127" i="21"/>
  <c r="AG128" i="21"/>
  <c r="AG11" i="21"/>
  <c r="AA13" i="21"/>
  <c r="AG17" i="21"/>
  <c r="AG20" i="21"/>
  <c r="AG21" i="21"/>
  <c r="AA39" i="21"/>
  <c r="AA40" i="21"/>
  <c r="AA41" i="21"/>
  <c r="AG52" i="21"/>
  <c r="AG53" i="21"/>
  <c r="AG58" i="21"/>
  <c r="AG59" i="21"/>
  <c r="AG79" i="21"/>
  <c r="AG80" i="21"/>
  <c r="AG90" i="21"/>
  <c r="AG93" i="21"/>
  <c r="AG99" i="21"/>
  <c r="AG100" i="21"/>
  <c r="AG110" i="21"/>
  <c r="AG117" i="21"/>
  <c r="AG119" i="21"/>
  <c r="AG120" i="21"/>
  <c r="AG130" i="21"/>
  <c r="AG131" i="21"/>
  <c r="AA11" i="21"/>
  <c r="AA29" i="21"/>
  <c r="AF46" i="21"/>
  <c r="AF51" i="21"/>
  <c r="AF66" i="21"/>
  <c r="AA69" i="21"/>
  <c r="AF91" i="21"/>
  <c r="AF102" i="21"/>
  <c r="AF108" i="21"/>
  <c r="AF121" i="21"/>
  <c r="AF129" i="21"/>
  <c r="AF131" i="21"/>
  <c r="AG24" i="21"/>
  <c r="AG25" i="21"/>
  <c r="AG34" i="21"/>
  <c r="AG42" i="21"/>
  <c r="AG43" i="21"/>
  <c r="AG44" i="21"/>
  <c r="AG45" i="21"/>
  <c r="AG54" i="21"/>
  <c r="AG55" i="21"/>
  <c r="AG56" i="21"/>
  <c r="AG62" i="21"/>
  <c r="AG63" i="21"/>
  <c r="AG65" i="21"/>
  <c r="AG82" i="21"/>
  <c r="AG83" i="21"/>
  <c r="AG84" i="21"/>
  <c r="AG95" i="21"/>
  <c r="AG102" i="21"/>
  <c r="AG103" i="21"/>
  <c r="AG104" i="21"/>
  <c r="AG115" i="21"/>
  <c r="AG123" i="21"/>
  <c r="AG124" i="21"/>
  <c r="AG125" i="21"/>
  <c r="M8" i="25"/>
  <c r="K27" i="25"/>
  <c r="M9" i="25"/>
  <c r="L29" i="25"/>
  <c r="M13" i="25"/>
  <c r="M14" i="25"/>
  <c r="M24" i="25"/>
  <c r="AR224" i="18"/>
  <c r="AQ224" i="18"/>
  <c r="AP224" i="18"/>
  <c r="AS224" i="18" s="1"/>
  <c r="AR223" i="18"/>
  <c r="AQ223" i="18"/>
  <c r="AP223" i="18"/>
  <c r="AR222" i="18"/>
  <c r="AQ222" i="18"/>
  <c r="AP222" i="18"/>
  <c r="AS222" i="18" s="1"/>
  <c r="AR221" i="18"/>
  <c r="AQ221" i="18"/>
  <c r="AS221" i="18" s="1"/>
  <c r="AP221" i="18"/>
  <c r="AR219" i="18"/>
  <c r="AQ219" i="18"/>
  <c r="AP219" i="18"/>
  <c r="R138" i="21"/>
  <c r="AI139" i="21"/>
  <c r="J62" i="17" s="1"/>
  <c r="AD138" i="20"/>
  <c r="J61" i="17" s="1"/>
  <c r="AB140" i="19"/>
  <c r="K60" i="17" s="1"/>
  <c r="W139" i="21"/>
  <c r="J38" i="17" s="1"/>
  <c r="W138" i="21"/>
  <c r="I38" i="17" s="1"/>
  <c r="W140" i="21"/>
  <c r="K38" i="17" s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AF139" i="20"/>
  <c r="V6" i="22"/>
  <c r="AB6" i="22"/>
  <c r="V28" i="22"/>
  <c r="AB28" i="22"/>
  <c r="W28" i="22"/>
  <c r="V46" i="22"/>
  <c r="AB46" i="22"/>
  <c r="W46" i="22"/>
  <c r="V92" i="22"/>
  <c r="AB92" i="22"/>
  <c r="W92" i="22"/>
  <c r="F92" i="22"/>
  <c r="V97" i="22"/>
  <c r="AB97" i="22"/>
  <c r="X97" i="22"/>
  <c r="AB7" i="22"/>
  <c r="AB8" i="22"/>
  <c r="AB9" i="22"/>
  <c r="AB10" i="22"/>
  <c r="AB11" i="22"/>
  <c r="AB12" i="22"/>
  <c r="AB13" i="22"/>
  <c r="AB14" i="22"/>
  <c r="AB15" i="22"/>
  <c r="AB16" i="22"/>
  <c r="AB17" i="22"/>
  <c r="AB18" i="22"/>
  <c r="AB19" i="22"/>
  <c r="AB20" i="22"/>
  <c r="V20" i="22"/>
  <c r="X20" i="22"/>
  <c r="AB21" i="22"/>
  <c r="AB22" i="22"/>
  <c r="AB23" i="22"/>
  <c r="AB24" i="22"/>
  <c r="AB25" i="22"/>
  <c r="AB26" i="22"/>
  <c r="AB27" i="22"/>
  <c r="AB29" i="22"/>
  <c r="AB30" i="22"/>
  <c r="AB31" i="22"/>
  <c r="AB32" i="22"/>
  <c r="AB33" i="22"/>
  <c r="AB35" i="22"/>
  <c r="AB42" i="22"/>
  <c r="AB64" i="22"/>
  <c r="AB67" i="22"/>
  <c r="AB5" i="22"/>
  <c r="AB34" i="22"/>
  <c r="AB36" i="22"/>
  <c r="AB37" i="22"/>
  <c r="AB38" i="22"/>
  <c r="AB39" i="22"/>
  <c r="AB40" i="22"/>
  <c r="AB41" i="22"/>
  <c r="AB43" i="22"/>
  <c r="AB44" i="22"/>
  <c r="AB45" i="22"/>
  <c r="AB47" i="22"/>
  <c r="AB48" i="22"/>
  <c r="AB49" i="22"/>
  <c r="AB50" i="22"/>
  <c r="AB51" i="22"/>
  <c r="AB52" i="22"/>
  <c r="AB53" i="22"/>
  <c r="AB54" i="22"/>
  <c r="AB55" i="22"/>
  <c r="AB56" i="22"/>
  <c r="AB57" i="22"/>
  <c r="AB58" i="22"/>
  <c r="AB59" i="22"/>
  <c r="AB60" i="22"/>
  <c r="AB61" i="22"/>
  <c r="AB62" i="22"/>
  <c r="AB63" i="22"/>
  <c r="AB65" i="22"/>
  <c r="AB66" i="22"/>
  <c r="AB68" i="22"/>
  <c r="AB69" i="22"/>
  <c r="AB70" i="22"/>
  <c r="AB71" i="22"/>
  <c r="AB72" i="22"/>
  <c r="AB73" i="22"/>
  <c r="AB74" i="22"/>
  <c r="AB75" i="22"/>
  <c r="AB76" i="22"/>
  <c r="AB77" i="22"/>
  <c r="AB78" i="22"/>
  <c r="AB79" i="22"/>
  <c r="AB80" i="22"/>
  <c r="AB81" i="22"/>
  <c r="AB82" i="22"/>
  <c r="AB83" i="22"/>
  <c r="AB84" i="22"/>
  <c r="AB85" i="22"/>
  <c r="AB86" i="22"/>
  <c r="AB87" i="22"/>
  <c r="AB88" i="22"/>
  <c r="AB89" i="22"/>
  <c r="AB90" i="22"/>
  <c r="AB91" i="22"/>
  <c r="AB93" i="22"/>
  <c r="AB94" i="22"/>
  <c r="AB95" i="22"/>
  <c r="AB96" i="22"/>
  <c r="AB98" i="22"/>
  <c r="AB99" i="22"/>
  <c r="AB100" i="22"/>
  <c r="AB101" i="22"/>
  <c r="AB102" i="22"/>
  <c r="AB103" i="22"/>
  <c r="AB104" i="22"/>
  <c r="AB105" i="22"/>
  <c r="AB106" i="22"/>
  <c r="AB107" i="22"/>
  <c r="AB108" i="22"/>
  <c r="AB109" i="22"/>
  <c r="AB110" i="22"/>
  <c r="AB111" i="22"/>
  <c r="AB112" i="22"/>
  <c r="AB113" i="22"/>
  <c r="AB114" i="22"/>
  <c r="AB115" i="22"/>
  <c r="AB116" i="22"/>
  <c r="AB117" i="22"/>
  <c r="AB118" i="22"/>
  <c r="AB119" i="22"/>
  <c r="AB120" i="22"/>
  <c r="AB121" i="22"/>
  <c r="AB122" i="22"/>
  <c r="AB123" i="22"/>
  <c r="AB124" i="22"/>
  <c r="AB125" i="22"/>
  <c r="AB126" i="22"/>
  <c r="AB127" i="22"/>
  <c r="AB128" i="22"/>
  <c r="AB129" i="22"/>
  <c r="AB130" i="22"/>
  <c r="AB131" i="22"/>
  <c r="AB132" i="22"/>
  <c r="V51" i="22"/>
  <c r="V112" i="22"/>
  <c r="V48" i="22"/>
  <c r="AH76" i="22"/>
  <c r="AH81" i="22"/>
  <c r="V86" i="22"/>
  <c r="W6" i="22"/>
  <c r="X6" i="22"/>
  <c r="V7" i="22"/>
  <c r="W7" i="22"/>
  <c r="X7" i="22"/>
  <c r="V8" i="22"/>
  <c r="W8" i="22"/>
  <c r="X8" i="22"/>
  <c r="V9" i="22"/>
  <c r="W9" i="22"/>
  <c r="X9" i="22"/>
  <c r="V10" i="22"/>
  <c r="W10" i="22"/>
  <c r="X10" i="22"/>
  <c r="V11" i="22"/>
  <c r="W11" i="22"/>
  <c r="X11" i="22"/>
  <c r="V12" i="22"/>
  <c r="W12" i="22"/>
  <c r="X12" i="22"/>
  <c r="V13" i="22"/>
  <c r="W13" i="22"/>
  <c r="X13" i="22"/>
  <c r="V14" i="22"/>
  <c r="W14" i="22"/>
  <c r="X14" i="22"/>
  <c r="L14" i="22" s="1"/>
  <c r="L13" i="23" s="1"/>
  <c r="V15" i="22"/>
  <c r="W15" i="22"/>
  <c r="X15" i="22"/>
  <c r="V16" i="22"/>
  <c r="W16" i="22"/>
  <c r="X16" i="22"/>
  <c r="V17" i="22"/>
  <c r="W17" i="22"/>
  <c r="X17" i="22"/>
  <c r="V18" i="22"/>
  <c r="W18" i="22"/>
  <c r="X18" i="22"/>
  <c r="V19" i="22"/>
  <c r="W19" i="22"/>
  <c r="X19" i="22"/>
  <c r="W20" i="22"/>
  <c r="V21" i="22"/>
  <c r="AH21" i="22"/>
  <c r="W21" i="22"/>
  <c r="X21" i="22"/>
  <c r="V22" i="22"/>
  <c r="W22" i="22"/>
  <c r="X22" i="22"/>
  <c r="V23" i="22"/>
  <c r="W23" i="22"/>
  <c r="X23" i="22"/>
  <c r="V24" i="22"/>
  <c r="W24" i="22"/>
  <c r="X24" i="22"/>
  <c r="V25" i="22"/>
  <c r="W25" i="22"/>
  <c r="X25" i="22"/>
  <c r="V26" i="22"/>
  <c r="W26" i="22"/>
  <c r="X26" i="22"/>
  <c r="V27" i="22"/>
  <c r="W27" i="22"/>
  <c r="X27" i="22"/>
  <c r="X28" i="22"/>
  <c r="V29" i="22"/>
  <c r="W29" i="22"/>
  <c r="X29" i="22"/>
  <c r="V30" i="22"/>
  <c r="X30" i="22"/>
  <c r="W30" i="22"/>
  <c r="V31" i="22"/>
  <c r="W31" i="22"/>
  <c r="X31" i="22"/>
  <c r="V32" i="22"/>
  <c r="W32" i="22"/>
  <c r="X32" i="22"/>
  <c r="V33" i="22"/>
  <c r="W33" i="22"/>
  <c r="X33" i="22"/>
  <c r="AH33" i="22"/>
  <c r="V34" i="22"/>
  <c r="W34" i="22"/>
  <c r="X34" i="22"/>
  <c r="V35" i="22"/>
  <c r="W35" i="22"/>
  <c r="X35" i="22"/>
  <c r="V36" i="22"/>
  <c r="W36" i="22"/>
  <c r="F36" i="22"/>
  <c r="X36" i="22"/>
  <c r="V37" i="22"/>
  <c r="W37" i="22"/>
  <c r="X37" i="22"/>
  <c r="V38" i="22"/>
  <c r="W38" i="22"/>
  <c r="X38" i="22"/>
  <c r="V39" i="22"/>
  <c r="W39" i="22"/>
  <c r="X39" i="22"/>
  <c r="V40" i="22"/>
  <c r="W40" i="22"/>
  <c r="X40" i="22"/>
  <c r="V41" i="22"/>
  <c r="W41" i="22"/>
  <c r="X41" i="22"/>
  <c r="V42" i="22"/>
  <c r="W42" i="22"/>
  <c r="X42" i="22"/>
  <c r="V43" i="22"/>
  <c r="W43" i="22"/>
  <c r="X43" i="22"/>
  <c r="V44" i="22"/>
  <c r="W44" i="22"/>
  <c r="X44" i="22"/>
  <c r="V45" i="22"/>
  <c r="W45" i="22"/>
  <c r="X45" i="22"/>
  <c r="X46" i="22"/>
  <c r="V47" i="22"/>
  <c r="W47" i="22"/>
  <c r="X47" i="22"/>
  <c r="W48" i="22"/>
  <c r="X48" i="22"/>
  <c r="V49" i="22"/>
  <c r="W49" i="22"/>
  <c r="X49" i="22"/>
  <c r="V50" i="22"/>
  <c r="W50" i="22"/>
  <c r="X50" i="22"/>
  <c r="W51" i="22"/>
  <c r="X51" i="22"/>
  <c r="V52" i="22"/>
  <c r="W52" i="22"/>
  <c r="X52" i="22"/>
  <c r="V53" i="22"/>
  <c r="W53" i="22"/>
  <c r="X53" i="22"/>
  <c r="V54" i="22"/>
  <c r="W54" i="22"/>
  <c r="X54" i="22"/>
  <c r="V55" i="22"/>
  <c r="W55" i="22"/>
  <c r="X55" i="22"/>
  <c r="V56" i="22"/>
  <c r="W56" i="22"/>
  <c r="X56" i="22"/>
  <c r="V57" i="22"/>
  <c r="W57" i="22"/>
  <c r="X57" i="22"/>
  <c r="AH57" i="22"/>
  <c r="V58" i="22"/>
  <c r="W58" i="22"/>
  <c r="X58" i="22"/>
  <c r="V59" i="22"/>
  <c r="W59" i="22"/>
  <c r="X59" i="22"/>
  <c r="L59" i="22" s="1"/>
  <c r="L58" i="23" s="1"/>
  <c r="AH59" i="22"/>
  <c r="V60" i="22"/>
  <c r="W60" i="22"/>
  <c r="X60" i="22"/>
  <c r="V61" i="22"/>
  <c r="W61" i="22"/>
  <c r="X61" i="22"/>
  <c r="V62" i="22"/>
  <c r="W62" i="22"/>
  <c r="X62" i="22"/>
  <c r="V63" i="22"/>
  <c r="W63" i="22"/>
  <c r="X63" i="22"/>
  <c r="V64" i="22"/>
  <c r="W64" i="22"/>
  <c r="X64" i="22"/>
  <c r="V65" i="22"/>
  <c r="W65" i="22"/>
  <c r="X65" i="22"/>
  <c r="V66" i="22"/>
  <c r="W66" i="22"/>
  <c r="X66" i="22"/>
  <c r="V67" i="22"/>
  <c r="W67" i="22"/>
  <c r="X67" i="22"/>
  <c r="AH67" i="22"/>
  <c r="V68" i="22"/>
  <c r="X68" i="22"/>
  <c r="W68" i="22"/>
  <c r="V69" i="22"/>
  <c r="W69" i="22"/>
  <c r="X69" i="22"/>
  <c r="V70" i="22"/>
  <c r="W70" i="22"/>
  <c r="X70" i="22"/>
  <c r="V71" i="22"/>
  <c r="W71" i="22"/>
  <c r="X71" i="22"/>
  <c r="V72" i="22"/>
  <c r="W72" i="22"/>
  <c r="X72" i="22"/>
  <c r="V73" i="22"/>
  <c r="W73" i="22"/>
  <c r="X73" i="22"/>
  <c r="V74" i="22"/>
  <c r="W74" i="22"/>
  <c r="X74" i="22"/>
  <c r="V75" i="22"/>
  <c r="W75" i="22"/>
  <c r="X75" i="22"/>
  <c r="V76" i="22"/>
  <c r="W76" i="22"/>
  <c r="X76" i="22"/>
  <c r="V77" i="22"/>
  <c r="W77" i="22"/>
  <c r="X77" i="22"/>
  <c r="V78" i="22"/>
  <c r="W78" i="22"/>
  <c r="X78" i="22"/>
  <c r="L78" i="22" s="1"/>
  <c r="L77" i="23" s="1"/>
  <c r="V79" i="22"/>
  <c r="W79" i="22"/>
  <c r="X79" i="22"/>
  <c r="V80" i="22"/>
  <c r="W80" i="22"/>
  <c r="X80" i="22"/>
  <c r="V81" i="22"/>
  <c r="W81" i="22"/>
  <c r="X81" i="22"/>
  <c r="V82" i="22"/>
  <c r="W82" i="22"/>
  <c r="X82" i="22"/>
  <c r="V83" i="22"/>
  <c r="W83" i="22"/>
  <c r="X83" i="22"/>
  <c r="V84" i="22"/>
  <c r="W84" i="22"/>
  <c r="X84" i="22"/>
  <c r="V85" i="22"/>
  <c r="W85" i="22"/>
  <c r="X85" i="22"/>
  <c r="W86" i="22"/>
  <c r="X86" i="22"/>
  <c r="V87" i="22"/>
  <c r="W87" i="22"/>
  <c r="X87" i="22"/>
  <c r="V88" i="22"/>
  <c r="W88" i="22"/>
  <c r="X88" i="22"/>
  <c r="V89" i="22"/>
  <c r="W89" i="22"/>
  <c r="X89" i="22"/>
  <c r="X98" i="22"/>
  <c r="X103" i="22"/>
  <c r="X104" i="22"/>
  <c r="X128" i="22"/>
  <c r="X5" i="22"/>
  <c r="X90" i="22"/>
  <c r="X91" i="22"/>
  <c r="X92" i="22"/>
  <c r="X93" i="22"/>
  <c r="X94" i="22"/>
  <c r="X95" i="22"/>
  <c r="X96" i="22"/>
  <c r="L96" i="22" s="1"/>
  <c r="L95" i="23" s="1"/>
  <c r="X99" i="22"/>
  <c r="X100" i="22"/>
  <c r="X101" i="22"/>
  <c r="X102" i="22"/>
  <c r="X105" i="22"/>
  <c r="X106" i="22"/>
  <c r="X107" i="22"/>
  <c r="X108" i="22"/>
  <c r="X109" i="22"/>
  <c r="X110" i="22"/>
  <c r="X111" i="22"/>
  <c r="X112" i="22"/>
  <c r="X113" i="22"/>
  <c r="X114" i="22"/>
  <c r="L114" i="22" s="1"/>
  <c r="L113" i="23" s="1"/>
  <c r="X115" i="22"/>
  <c r="X116" i="22"/>
  <c r="X117" i="22"/>
  <c r="X118" i="22"/>
  <c r="X119" i="22"/>
  <c r="L119" i="22" s="1"/>
  <c r="L118" i="23" s="1"/>
  <c r="X120" i="22"/>
  <c r="X121" i="22"/>
  <c r="X122" i="22"/>
  <c r="X123" i="22"/>
  <c r="X124" i="22"/>
  <c r="X125" i="22"/>
  <c r="X126" i="22"/>
  <c r="X127" i="22"/>
  <c r="X129" i="22"/>
  <c r="X130" i="22"/>
  <c r="X131" i="22"/>
  <c r="X132" i="22"/>
  <c r="V90" i="22"/>
  <c r="W90" i="22"/>
  <c r="V91" i="22"/>
  <c r="W91" i="22"/>
  <c r="V93" i="22"/>
  <c r="W93" i="22"/>
  <c r="V94" i="22"/>
  <c r="W94" i="22"/>
  <c r="V95" i="22"/>
  <c r="W95" i="22"/>
  <c r="V96" i="22"/>
  <c r="W96" i="22"/>
  <c r="W97" i="22"/>
  <c r="V98" i="22"/>
  <c r="W98" i="22"/>
  <c r="V99" i="22"/>
  <c r="W99" i="22"/>
  <c r="V100" i="22"/>
  <c r="W100" i="22"/>
  <c r="V101" i="22"/>
  <c r="W101" i="22"/>
  <c r="V102" i="22"/>
  <c r="W102" i="22"/>
  <c r="V103" i="22"/>
  <c r="W103" i="22"/>
  <c r="V104" i="22"/>
  <c r="W104" i="22"/>
  <c r="F104" i="22"/>
  <c r="V105" i="22"/>
  <c r="W105" i="22"/>
  <c r="V106" i="22"/>
  <c r="W106" i="22"/>
  <c r="V107" i="22"/>
  <c r="W107" i="22"/>
  <c r="V108" i="22"/>
  <c r="W108" i="22"/>
  <c r="F108" i="22"/>
  <c r="V109" i="22"/>
  <c r="W109" i="22"/>
  <c r="V110" i="22"/>
  <c r="W110" i="22"/>
  <c r="V111" i="22"/>
  <c r="W111" i="22"/>
  <c r="W112" i="22"/>
  <c r="V113" i="22"/>
  <c r="W113" i="22"/>
  <c r="W5" i="22"/>
  <c r="W114" i="22"/>
  <c r="W115" i="22"/>
  <c r="W116" i="22"/>
  <c r="W117" i="22"/>
  <c r="W118" i="22"/>
  <c r="W119" i="22"/>
  <c r="W120" i="22"/>
  <c r="W121" i="22"/>
  <c r="W122" i="22"/>
  <c r="W123" i="22"/>
  <c r="W124" i="22"/>
  <c r="W125" i="22"/>
  <c r="W126" i="22"/>
  <c r="W127" i="22"/>
  <c r="W128" i="22"/>
  <c r="W129" i="22"/>
  <c r="W130" i="22"/>
  <c r="W131" i="22"/>
  <c r="W132" i="22"/>
  <c r="V114" i="22"/>
  <c r="V115" i="22"/>
  <c r="V116" i="22"/>
  <c r="V117" i="22"/>
  <c r="V118" i="22"/>
  <c r="V119" i="22"/>
  <c r="V120" i="22"/>
  <c r="V121" i="22"/>
  <c r="V122" i="22"/>
  <c r="V123" i="22"/>
  <c r="V124" i="22"/>
  <c r="V125" i="22"/>
  <c r="V126" i="22"/>
  <c r="V127" i="22"/>
  <c r="V128" i="22"/>
  <c r="V129" i="22"/>
  <c r="V130" i="22"/>
  <c r="V131" i="22"/>
  <c r="V132" i="22"/>
  <c r="V5" i="22"/>
  <c r="R6" i="22"/>
  <c r="R7" i="22"/>
  <c r="R8" i="22"/>
  <c r="R9" i="22"/>
  <c r="R10" i="22"/>
  <c r="R11" i="22"/>
  <c r="R12" i="22"/>
  <c r="R13" i="22"/>
  <c r="R14" i="22"/>
  <c r="O14" i="22"/>
  <c r="R15" i="22"/>
  <c r="R16" i="22"/>
  <c r="R17" i="22"/>
  <c r="O17" i="22"/>
  <c r="R18" i="22"/>
  <c r="R19" i="22"/>
  <c r="R20" i="22"/>
  <c r="R21" i="22"/>
  <c r="R22" i="22"/>
  <c r="R23" i="22"/>
  <c r="R24" i="22"/>
  <c r="R25" i="22"/>
  <c r="R26" i="22"/>
  <c r="R27" i="22"/>
  <c r="R28" i="22"/>
  <c r="R29" i="22"/>
  <c r="R30" i="22"/>
  <c r="R31" i="22"/>
  <c r="R32" i="22"/>
  <c r="R33" i="22"/>
  <c r="R34" i="22"/>
  <c r="R35" i="22"/>
  <c r="R36" i="22"/>
  <c r="R37" i="22"/>
  <c r="R38" i="22"/>
  <c r="R39" i="22"/>
  <c r="R40" i="22"/>
  <c r="R41" i="22"/>
  <c r="R42" i="22"/>
  <c r="R43" i="22"/>
  <c r="R44" i="22"/>
  <c r="R45" i="22"/>
  <c r="R46" i="22"/>
  <c r="R47" i="22"/>
  <c r="R48" i="22"/>
  <c r="R49" i="22"/>
  <c r="R50" i="22"/>
  <c r="R51" i="22"/>
  <c r="R52" i="22"/>
  <c r="R53" i="22"/>
  <c r="R54" i="22"/>
  <c r="R55" i="22"/>
  <c r="R56" i="22"/>
  <c r="R57" i="22"/>
  <c r="R58" i="22"/>
  <c r="R59" i="22"/>
  <c r="R60" i="22"/>
  <c r="R61" i="22"/>
  <c r="R62" i="22"/>
  <c r="R63" i="22"/>
  <c r="R64" i="22"/>
  <c r="R65" i="22"/>
  <c r="R66" i="22"/>
  <c r="R67" i="22"/>
  <c r="R68" i="22"/>
  <c r="R69" i="22"/>
  <c r="R70" i="22"/>
  <c r="R71" i="22"/>
  <c r="R72" i="22"/>
  <c r="R73" i="22"/>
  <c r="R74" i="22"/>
  <c r="R75" i="22"/>
  <c r="R76" i="22"/>
  <c r="R77" i="22"/>
  <c r="R78" i="22"/>
  <c r="R79" i="22"/>
  <c r="R80" i="22"/>
  <c r="R81" i="22"/>
  <c r="R82" i="22"/>
  <c r="R83" i="22"/>
  <c r="R84" i="22"/>
  <c r="R85" i="22"/>
  <c r="R86" i="22"/>
  <c r="R87" i="22"/>
  <c r="R88" i="22"/>
  <c r="R89" i="22"/>
  <c r="R90" i="22"/>
  <c r="R91" i="22"/>
  <c r="R92" i="22"/>
  <c r="R93" i="22"/>
  <c r="R94" i="22"/>
  <c r="R95" i="22"/>
  <c r="R96" i="22"/>
  <c r="R97" i="22"/>
  <c r="R98" i="22"/>
  <c r="R99" i="22"/>
  <c r="R100" i="22"/>
  <c r="R101" i="22"/>
  <c r="R102" i="22"/>
  <c r="R103" i="22"/>
  <c r="R104" i="22"/>
  <c r="R105" i="22"/>
  <c r="R106" i="22"/>
  <c r="R107" i="22"/>
  <c r="R108" i="22"/>
  <c r="R109" i="22"/>
  <c r="R110" i="22"/>
  <c r="R111" i="22"/>
  <c r="R112" i="22"/>
  <c r="R113" i="22"/>
  <c r="R114" i="22"/>
  <c r="R115" i="22"/>
  <c r="R116" i="22"/>
  <c r="R117" i="22"/>
  <c r="R118" i="22"/>
  <c r="R119" i="22"/>
  <c r="R120" i="22"/>
  <c r="R121" i="22"/>
  <c r="R122" i="22"/>
  <c r="R123" i="22"/>
  <c r="R124" i="22"/>
  <c r="R125" i="22"/>
  <c r="R126" i="22"/>
  <c r="R127" i="22"/>
  <c r="R128" i="22"/>
  <c r="R129" i="22"/>
  <c r="O129" i="22"/>
  <c r="R130" i="22"/>
  <c r="R131" i="22"/>
  <c r="R132" i="22"/>
  <c r="O6" i="22"/>
  <c r="O7" i="22"/>
  <c r="O8" i="22"/>
  <c r="O9" i="22"/>
  <c r="O10" i="22"/>
  <c r="O11" i="22"/>
  <c r="O12" i="22"/>
  <c r="O13" i="22"/>
  <c r="O15" i="22"/>
  <c r="O16" i="22"/>
  <c r="O18" i="22"/>
  <c r="O19" i="22"/>
  <c r="O20" i="22"/>
  <c r="O21" i="22"/>
  <c r="O22" i="22"/>
  <c r="O23" i="22"/>
  <c r="O24" i="22"/>
  <c r="O25" i="22"/>
  <c r="O26" i="22"/>
  <c r="O27" i="22"/>
  <c r="AJ27" i="22" s="1"/>
  <c r="O28" i="22"/>
  <c r="AJ28" i="22" s="1"/>
  <c r="O29" i="22"/>
  <c r="AJ29" i="22" s="1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AJ47" i="22" s="1"/>
  <c r="O48" i="22"/>
  <c r="AJ48" i="22" s="1"/>
  <c r="O49" i="22"/>
  <c r="AJ49" i="22" s="1"/>
  <c r="O50" i="22"/>
  <c r="AJ50" i="22" s="1"/>
  <c r="O51" i="22"/>
  <c r="O52" i="22"/>
  <c r="O53" i="22"/>
  <c r="O54" i="22"/>
  <c r="O55" i="22"/>
  <c r="O56" i="22"/>
  <c r="O57" i="22"/>
  <c r="O58" i="22"/>
  <c r="O59" i="22"/>
  <c r="O60" i="22"/>
  <c r="AJ60" i="22" s="1"/>
  <c r="O61" i="22"/>
  <c r="O62" i="22"/>
  <c r="AJ62" i="22" s="1"/>
  <c r="O63" i="22"/>
  <c r="O64" i="22"/>
  <c r="O65" i="22"/>
  <c r="AJ65" i="22" s="1"/>
  <c r="O66" i="22"/>
  <c r="O67" i="22"/>
  <c r="AJ67" i="22" s="1"/>
  <c r="O68" i="22"/>
  <c r="O69" i="22"/>
  <c r="AJ69" i="22" s="1"/>
  <c r="O70" i="22"/>
  <c r="AJ70" i="22" s="1"/>
  <c r="O71" i="22"/>
  <c r="O72" i="22"/>
  <c r="O73" i="22"/>
  <c r="O74" i="22"/>
  <c r="O75" i="22"/>
  <c r="O76" i="22"/>
  <c r="O77" i="22"/>
  <c r="O78" i="22"/>
  <c r="O79" i="22"/>
  <c r="O80" i="22"/>
  <c r="O81" i="22"/>
  <c r="P81" i="22" s="1"/>
  <c r="O82" i="22"/>
  <c r="O83" i="22"/>
  <c r="O84" i="22"/>
  <c r="O85" i="22"/>
  <c r="O86" i="22"/>
  <c r="O87" i="22"/>
  <c r="AJ87" i="22" s="1"/>
  <c r="O88" i="22"/>
  <c r="AJ88" i="22" s="1"/>
  <c r="O89" i="22"/>
  <c r="P89" i="22" s="1"/>
  <c r="O90" i="22"/>
  <c r="O91" i="22"/>
  <c r="O92" i="22"/>
  <c r="O94" i="22"/>
  <c r="O95" i="22"/>
  <c r="O96" i="22"/>
  <c r="O97" i="22"/>
  <c r="O98" i="22"/>
  <c r="O99" i="22"/>
  <c r="O100" i="22"/>
  <c r="O101" i="22"/>
  <c r="O102" i="22"/>
  <c r="O103" i="22"/>
  <c r="O104" i="22"/>
  <c r="O105" i="22"/>
  <c r="P105" i="22" s="1"/>
  <c r="O106" i="22"/>
  <c r="O107" i="22"/>
  <c r="O108" i="22"/>
  <c r="O109" i="22"/>
  <c r="O110" i="22"/>
  <c r="O111" i="22"/>
  <c r="O112" i="22"/>
  <c r="O113" i="22"/>
  <c r="O114" i="22"/>
  <c r="O115" i="22"/>
  <c r="O116" i="22"/>
  <c r="O117" i="22"/>
  <c r="O118" i="22"/>
  <c r="O119" i="22"/>
  <c r="O120" i="22"/>
  <c r="O121" i="22"/>
  <c r="O122" i="22"/>
  <c r="O123" i="22"/>
  <c r="O124" i="22"/>
  <c r="O125" i="22"/>
  <c r="O126" i="22"/>
  <c r="O127" i="22"/>
  <c r="O128" i="22"/>
  <c r="O130" i="22"/>
  <c r="O131" i="22"/>
  <c r="O132" i="22"/>
  <c r="R5" i="22"/>
  <c r="O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40" i="22"/>
  <c r="F5" i="22"/>
  <c r="F29" i="22"/>
  <c r="F30" i="22"/>
  <c r="F31" i="22"/>
  <c r="F32" i="22"/>
  <c r="F33" i="22"/>
  <c r="F34" i="22"/>
  <c r="F35" i="22"/>
  <c r="G35" i="22" s="1"/>
  <c r="F37" i="22"/>
  <c r="F38" i="22"/>
  <c r="F39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G60" i="22" s="1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3" i="22"/>
  <c r="F94" i="22"/>
  <c r="F95" i="22"/>
  <c r="F96" i="22"/>
  <c r="F97" i="22"/>
  <c r="F98" i="22"/>
  <c r="F99" i="22"/>
  <c r="F100" i="22"/>
  <c r="F101" i="22"/>
  <c r="F102" i="22"/>
  <c r="F103" i="22"/>
  <c r="F105" i="22"/>
  <c r="F106" i="22"/>
  <c r="F107" i="22"/>
  <c r="F109" i="22"/>
  <c r="F110" i="22"/>
  <c r="F111" i="22"/>
  <c r="F112" i="22"/>
  <c r="F113" i="22"/>
  <c r="F114" i="22"/>
  <c r="F115" i="22"/>
  <c r="F116" i="22"/>
  <c r="F117" i="22"/>
  <c r="F118" i="22"/>
  <c r="F119" i="22"/>
  <c r="F120" i="22"/>
  <c r="F121" i="22"/>
  <c r="F122" i="22"/>
  <c r="F123" i="22"/>
  <c r="F124" i="22"/>
  <c r="F125" i="22"/>
  <c r="F126" i="22"/>
  <c r="F127" i="22"/>
  <c r="F128" i="22"/>
  <c r="F129" i="22"/>
  <c r="F130" i="22"/>
  <c r="F131" i="22"/>
  <c r="F132" i="22"/>
  <c r="F49" i="18"/>
  <c r="Y49" i="18" s="1"/>
  <c r="J55" i="18"/>
  <c r="G82" i="18"/>
  <c r="N102" i="18"/>
  <c r="J105" i="18"/>
  <c r="J112" i="18"/>
  <c r="J114" i="18"/>
  <c r="J116" i="18"/>
  <c r="J122" i="18"/>
  <c r="J126" i="18"/>
  <c r="X207" i="20"/>
  <c r="W207" i="20"/>
  <c r="V207" i="20"/>
  <c r="X206" i="20"/>
  <c r="W206" i="20"/>
  <c r="V206" i="20"/>
  <c r="X205" i="20"/>
  <c r="W205" i="20"/>
  <c r="V205" i="20"/>
  <c r="X204" i="20"/>
  <c r="W204" i="20"/>
  <c r="V204" i="20"/>
  <c r="X202" i="20"/>
  <c r="W202" i="20"/>
  <c r="V202" i="20"/>
  <c r="X200" i="20"/>
  <c r="W200" i="20"/>
  <c r="V200" i="20"/>
  <c r="X199" i="20"/>
  <c r="W199" i="20"/>
  <c r="V199" i="20"/>
  <c r="X198" i="20"/>
  <c r="W198" i="20"/>
  <c r="V198" i="20"/>
  <c r="X197" i="20"/>
  <c r="W197" i="20"/>
  <c r="V197" i="20"/>
  <c r="X195" i="20"/>
  <c r="W195" i="20"/>
  <c r="V195" i="20"/>
  <c r="X192" i="20"/>
  <c r="W192" i="20"/>
  <c r="V192" i="20"/>
  <c r="X191" i="20"/>
  <c r="W191" i="20"/>
  <c r="V191" i="20"/>
  <c r="X190" i="20"/>
  <c r="W190" i="20"/>
  <c r="V190" i="20"/>
  <c r="X189" i="20"/>
  <c r="W189" i="20"/>
  <c r="V189" i="20"/>
  <c r="X187" i="20"/>
  <c r="W187" i="20"/>
  <c r="V187" i="20"/>
  <c r="AB185" i="20"/>
  <c r="AA185" i="20"/>
  <c r="Z185" i="20"/>
  <c r="X185" i="20"/>
  <c r="W185" i="20"/>
  <c r="V185" i="20"/>
  <c r="AB184" i="20"/>
  <c r="AA184" i="20"/>
  <c r="Z184" i="20"/>
  <c r="X184" i="20"/>
  <c r="W184" i="20"/>
  <c r="V184" i="20"/>
  <c r="AB183" i="20"/>
  <c r="AA183" i="20"/>
  <c r="Z183" i="20"/>
  <c r="X183" i="20"/>
  <c r="W183" i="20"/>
  <c r="V183" i="20"/>
  <c r="AB182" i="20"/>
  <c r="AA182" i="20"/>
  <c r="Z182" i="20"/>
  <c r="X182" i="20"/>
  <c r="W182" i="20"/>
  <c r="V182" i="20"/>
  <c r="AB180" i="20"/>
  <c r="AA180" i="20"/>
  <c r="Z180" i="20"/>
  <c r="X180" i="20"/>
  <c r="W180" i="20"/>
  <c r="V180" i="20"/>
  <c r="X177" i="20"/>
  <c r="W177" i="20"/>
  <c r="V177" i="20"/>
  <c r="X176" i="20"/>
  <c r="W176" i="20"/>
  <c r="V176" i="20"/>
  <c r="X175" i="20"/>
  <c r="W175" i="20"/>
  <c r="V175" i="20"/>
  <c r="X174" i="20"/>
  <c r="W174" i="20"/>
  <c r="V174" i="20"/>
  <c r="X172" i="20"/>
  <c r="W172" i="20"/>
  <c r="V172" i="20"/>
  <c r="X170" i="20"/>
  <c r="W170" i="20"/>
  <c r="V170" i="20"/>
  <c r="X169" i="20"/>
  <c r="W169" i="20"/>
  <c r="V169" i="20"/>
  <c r="X167" i="20"/>
  <c r="W167" i="20"/>
  <c r="V167" i="20"/>
  <c r="X165" i="20"/>
  <c r="W165" i="20"/>
  <c r="V165" i="20"/>
  <c r="AE139" i="20"/>
  <c r="AD139" i="20"/>
  <c r="K61" i="17" s="1"/>
  <c r="T139" i="20"/>
  <c r="S139" i="20"/>
  <c r="P139" i="20"/>
  <c r="O139" i="20"/>
  <c r="N139" i="20"/>
  <c r="K24" i="17" s="1"/>
  <c r="L139" i="20"/>
  <c r="H139" i="20"/>
  <c r="K139" i="20"/>
  <c r="J139" i="20"/>
  <c r="Z139" i="20" s="1"/>
  <c r="G139" i="20"/>
  <c r="AF138" i="20"/>
  <c r="AE138" i="20"/>
  <c r="T138" i="20"/>
  <c r="S138" i="20"/>
  <c r="P138" i="20"/>
  <c r="O138" i="20"/>
  <c r="N138" i="20"/>
  <c r="J24" i="17" s="1"/>
  <c r="L138" i="20"/>
  <c r="K138" i="20"/>
  <c r="J138" i="20"/>
  <c r="H138" i="20"/>
  <c r="G138" i="20"/>
  <c r="AF137" i="20"/>
  <c r="AE137" i="20"/>
  <c r="AD137" i="20"/>
  <c r="I61" i="17" s="1"/>
  <c r="T137" i="20"/>
  <c r="S137" i="20"/>
  <c r="P137" i="20"/>
  <c r="O137" i="20"/>
  <c r="N137" i="20"/>
  <c r="I24" i="17" s="1"/>
  <c r="L137" i="20"/>
  <c r="K137" i="20"/>
  <c r="G137" i="20"/>
  <c r="J137" i="20"/>
  <c r="Z137" i="20" s="1"/>
  <c r="H137" i="20"/>
  <c r="AF135" i="20"/>
  <c r="AE135" i="20"/>
  <c r="AD135" i="20"/>
  <c r="T135" i="20"/>
  <c r="S135" i="20"/>
  <c r="R135" i="20"/>
  <c r="P135" i="20"/>
  <c r="O135" i="20"/>
  <c r="N135" i="20"/>
  <c r="L135" i="20"/>
  <c r="K135" i="20"/>
  <c r="G135" i="20"/>
  <c r="J135" i="20"/>
  <c r="H135" i="20"/>
  <c r="F135" i="20"/>
  <c r="AB132" i="20"/>
  <c r="AA132" i="20"/>
  <c r="Z132" i="20"/>
  <c r="AB131" i="20"/>
  <c r="AA131" i="20"/>
  <c r="Z131" i="20"/>
  <c r="AB130" i="20"/>
  <c r="AA130" i="20"/>
  <c r="Z130" i="20"/>
  <c r="K130" i="18"/>
  <c r="J130" i="18"/>
  <c r="AB129" i="20"/>
  <c r="AA129" i="20"/>
  <c r="Z129" i="20"/>
  <c r="AB128" i="20"/>
  <c r="AA128" i="20"/>
  <c r="Z128" i="20"/>
  <c r="AB127" i="20"/>
  <c r="AA127" i="20"/>
  <c r="Z127" i="20"/>
  <c r="AB126" i="20"/>
  <c r="AA126" i="20"/>
  <c r="Z126" i="20"/>
  <c r="K126" i="18"/>
  <c r="AB125" i="20"/>
  <c r="AA125" i="20"/>
  <c r="Z125" i="20"/>
  <c r="K125" i="18"/>
  <c r="AB124" i="20"/>
  <c r="AA124" i="20"/>
  <c r="Z124" i="20"/>
  <c r="I124" i="18"/>
  <c r="AA124" i="18" s="1"/>
  <c r="AB123" i="20"/>
  <c r="AA123" i="20"/>
  <c r="Z123" i="20"/>
  <c r="K123" i="18"/>
  <c r="AB122" i="20"/>
  <c r="AA122" i="20"/>
  <c r="Z122" i="20"/>
  <c r="AB121" i="20"/>
  <c r="AA121" i="20"/>
  <c r="Z121" i="20"/>
  <c r="AB120" i="20"/>
  <c r="AA120" i="20"/>
  <c r="Z120" i="20"/>
  <c r="K120" i="18"/>
  <c r="AB119" i="20"/>
  <c r="AA119" i="20"/>
  <c r="Z119" i="20"/>
  <c r="AB118" i="20"/>
  <c r="AA118" i="20"/>
  <c r="Z118" i="20"/>
  <c r="AB117" i="20"/>
  <c r="AA117" i="20"/>
  <c r="Z117" i="20"/>
  <c r="AB116" i="20"/>
  <c r="AA116" i="20"/>
  <c r="Z116" i="20"/>
  <c r="AB115" i="20"/>
  <c r="AA115" i="20"/>
  <c r="Z115" i="20"/>
  <c r="AB114" i="20"/>
  <c r="AA114" i="20"/>
  <c r="Z114" i="20"/>
  <c r="AB113" i="20"/>
  <c r="AA113" i="20"/>
  <c r="Z113" i="20"/>
  <c r="I113" i="18"/>
  <c r="AA113" i="18" s="1"/>
  <c r="AB112" i="20"/>
  <c r="AA112" i="20"/>
  <c r="Z112" i="20"/>
  <c r="AB111" i="20"/>
  <c r="AA111" i="20"/>
  <c r="Z111" i="20"/>
  <c r="AB110" i="20"/>
  <c r="AA110" i="20"/>
  <c r="Z110" i="20"/>
  <c r="AB109" i="20"/>
  <c r="AA109" i="20"/>
  <c r="Z109" i="20"/>
  <c r="J109" i="18"/>
  <c r="AB108" i="20"/>
  <c r="AA108" i="20"/>
  <c r="Z108" i="20"/>
  <c r="K108" i="18"/>
  <c r="I108" i="18"/>
  <c r="AA108" i="18" s="1"/>
  <c r="AB107" i="20"/>
  <c r="AA107" i="20"/>
  <c r="Z107" i="20"/>
  <c r="K107" i="18"/>
  <c r="I107" i="18"/>
  <c r="AA107" i="18" s="1"/>
  <c r="AB106" i="20"/>
  <c r="AA106" i="20"/>
  <c r="Z106" i="20"/>
  <c r="AB105" i="20"/>
  <c r="AA105" i="20"/>
  <c r="Z105" i="20"/>
  <c r="AB104" i="20"/>
  <c r="AA104" i="20"/>
  <c r="Z104" i="20"/>
  <c r="AB103" i="20"/>
  <c r="AA103" i="20"/>
  <c r="Z103" i="20"/>
  <c r="AB102" i="20"/>
  <c r="AA102" i="20"/>
  <c r="Z102" i="20"/>
  <c r="AB101" i="20"/>
  <c r="AA101" i="20"/>
  <c r="Z101" i="20"/>
  <c r="AB100" i="20"/>
  <c r="AA100" i="20"/>
  <c r="Z100" i="20"/>
  <c r="AB99" i="20"/>
  <c r="AA99" i="20"/>
  <c r="Z99" i="20"/>
  <c r="I99" i="18"/>
  <c r="AA99" i="18" s="1"/>
  <c r="AB98" i="20"/>
  <c r="AA98" i="20"/>
  <c r="Z98" i="20"/>
  <c r="K98" i="18"/>
  <c r="AB97" i="20"/>
  <c r="AA97" i="20"/>
  <c r="Z97" i="20"/>
  <c r="AB96" i="20"/>
  <c r="AA96" i="20"/>
  <c r="Z96" i="20"/>
  <c r="AB95" i="20"/>
  <c r="AA95" i="20"/>
  <c r="Z95" i="20"/>
  <c r="J95" i="18"/>
  <c r="AB94" i="20"/>
  <c r="AA94" i="20"/>
  <c r="Z94" i="20"/>
  <c r="K94" i="18"/>
  <c r="J94" i="18"/>
  <c r="I94" i="18"/>
  <c r="AB93" i="20"/>
  <c r="AA93" i="20"/>
  <c r="Z93" i="20"/>
  <c r="AB92" i="20"/>
  <c r="AA92" i="20"/>
  <c r="Z92" i="20"/>
  <c r="AB91" i="20"/>
  <c r="AA91" i="20"/>
  <c r="Z91" i="20"/>
  <c r="K91" i="18"/>
  <c r="I91" i="18"/>
  <c r="AA91" i="18" s="1"/>
  <c r="AB90" i="20"/>
  <c r="AA90" i="20"/>
  <c r="Z90" i="20"/>
  <c r="I90" i="18"/>
  <c r="AA90" i="18" s="1"/>
  <c r="AB89" i="20"/>
  <c r="AA89" i="20"/>
  <c r="Z89" i="20"/>
  <c r="I89" i="18"/>
  <c r="AA89" i="18" s="1"/>
  <c r="AB88" i="20"/>
  <c r="AA88" i="20"/>
  <c r="Z88" i="20"/>
  <c r="J88" i="18"/>
  <c r="I88" i="18"/>
  <c r="AA88" i="18" s="1"/>
  <c r="AB87" i="20"/>
  <c r="AA87" i="20"/>
  <c r="Z87" i="20"/>
  <c r="K87" i="18"/>
  <c r="AB86" i="20"/>
  <c r="AA86" i="20"/>
  <c r="Z86" i="20"/>
  <c r="AB85" i="20"/>
  <c r="AA85" i="20"/>
  <c r="Z85" i="20"/>
  <c r="AB84" i="20"/>
  <c r="AA84" i="20"/>
  <c r="Z84" i="20"/>
  <c r="AB83" i="20"/>
  <c r="AA83" i="20"/>
  <c r="Z83" i="20"/>
  <c r="AB82" i="20"/>
  <c r="AA82" i="20"/>
  <c r="Z82" i="20"/>
  <c r="K82" i="18"/>
  <c r="J82" i="18"/>
  <c r="I82" i="18"/>
  <c r="AA82" i="18" s="1"/>
  <c r="AB81" i="20"/>
  <c r="AA81" i="20"/>
  <c r="Z81" i="20"/>
  <c r="J81" i="18"/>
  <c r="I81" i="18"/>
  <c r="AA81" i="18" s="1"/>
  <c r="AB80" i="20"/>
  <c r="AA80" i="20"/>
  <c r="Z80" i="20"/>
  <c r="AB79" i="20"/>
  <c r="AA79" i="20"/>
  <c r="Z79" i="20"/>
  <c r="AB78" i="20"/>
  <c r="AA78" i="20"/>
  <c r="Z78" i="20"/>
  <c r="AB77" i="20"/>
  <c r="AA77" i="20"/>
  <c r="Z77" i="20"/>
  <c r="AB76" i="20"/>
  <c r="AA76" i="20"/>
  <c r="Z76" i="20"/>
  <c r="K76" i="18"/>
  <c r="AB75" i="20"/>
  <c r="AA75" i="20"/>
  <c r="Z75" i="20"/>
  <c r="K75" i="18"/>
  <c r="AB74" i="20"/>
  <c r="AA74" i="20"/>
  <c r="Z74" i="20"/>
  <c r="K74" i="18"/>
  <c r="J74" i="18"/>
  <c r="I74" i="18"/>
  <c r="AA74" i="18" s="1"/>
  <c r="AB73" i="20"/>
  <c r="AA73" i="20"/>
  <c r="Z73" i="20"/>
  <c r="I73" i="18"/>
  <c r="AB72" i="20"/>
  <c r="AA72" i="20"/>
  <c r="Z72" i="20"/>
  <c r="AB71" i="20"/>
  <c r="AA71" i="20"/>
  <c r="Z71" i="20"/>
  <c r="I71" i="18"/>
  <c r="AA71" i="18" s="1"/>
  <c r="AB70" i="20"/>
  <c r="AA70" i="20"/>
  <c r="Z70" i="20"/>
  <c r="K70" i="18"/>
  <c r="J70" i="18"/>
  <c r="I70" i="18"/>
  <c r="AA70" i="18" s="1"/>
  <c r="AB69" i="20"/>
  <c r="AA69" i="20"/>
  <c r="Z69" i="20"/>
  <c r="K69" i="18"/>
  <c r="AB68" i="20"/>
  <c r="AA68" i="20"/>
  <c r="Z68" i="20"/>
  <c r="AB67" i="20"/>
  <c r="AA67" i="20"/>
  <c r="Z67" i="20"/>
  <c r="I67" i="18"/>
  <c r="AA67" i="18" s="1"/>
  <c r="AB66" i="20"/>
  <c r="AA66" i="20"/>
  <c r="Z66" i="20"/>
  <c r="AB65" i="20"/>
  <c r="AA65" i="20"/>
  <c r="Z65" i="20"/>
  <c r="K65" i="18"/>
  <c r="J65" i="18"/>
  <c r="AB64" i="20"/>
  <c r="AA64" i="20"/>
  <c r="Z64" i="20"/>
  <c r="I64" i="18"/>
  <c r="AA64" i="18" s="1"/>
  <c r="AB63" i="20"/>
  <c r="AA63" i="20"/>
  <c r="Z63" i="20"/>
  <c r="AB62" i="20"/>
  <c r="AA62" i="20"/>
  <c r="Z62" i="20"/>
  <c r="AB61" i="20"/>
  <c r="AA61" i="20"/>
  <c r="Z61" i="20"/>
  <c r="I61" i="18"/>
  <c r="AA61" i="18" s="1"/>
  <c r="AB60" i="20"/>
  <c r="AA60" i="20"/>
  <c r="Z60" i="20"/>
  <c r="AB59" i="20"/>
  <c r="AA59" i="20"/>
  <c r="Z59" i="20"/>
  <c r="AB58" i="20"/>
  <c r="AA58" i="20"/>
  <c r="Z58" i="20"/>
  <c r="K58" i="18"/>
  <c r="J58" i="18"/>
  <c r="AB57" i="20"/>
  <c r="AA57" i="20"/>
  <c r="Z57" i="20"/>
  <c r="J57" i="18"/>
  <c r="AB56" i="20"/>
  <c r="AA56" i="20"/>
  <c r="Z56" i="20"/>
  <c r="K56" i="18"/>
  <c r="AB55" i="20"/>
  <c r="AA55" i="20"/>
  <c r="Z55" i="20"/>
  <c r="K55" i="18"/>
  <c r="I55" i="18"/>
  <c r="AB54" i="20"/>
  <c r="AA54" i="20"/>
  <c r="Z54" i="20"/>
  <c r="I54" i="18"/>
  <c r="AA54" i="18" s="1"/>
  <c r="AB53" i="20"/>
  <c r="AA53" i="20"/>
  <c r="Z53" i="20"/>
  <c r="AB52" i="20"/>
  <c r="AA52" i="20"/>
  <c r="Z52" i="20"/>
  <c r="I52" i="18"/>
  <c r="AA52" i="18" s="1"/>
  <c r="AB51" i="20"/>
  <c r="AA51" i="20"/>
  <c r="Z51" i="20"/>
  <c r="AB50" i="20"/>
  <c r="AA50" i="20"/>
  <c r="Z50" i="20"/>
  <c r="K50" i="18"/>
  <c r="AB49" i="20"/>
  <c r="AA49" i="20"/>
  <c r="Z49" i="20"/>
  <c r="AB48" i="20"/>
  <c r="AA48" i="20"/>
  <c r="Z48" i="20"/>
  <c r="J48" i="18"/>
  <c r="I48" i="18"/>
  <c r="AA48" i="18" s="1"/>
  <c r="AB47" i="20"/>
  <c r="AA47" i="20"/>
  <c r="Z47" i="20"/>
  <c r="K47" i="18"/>
  <c r="J47" i="18"/>
  <c r="AB46" i="20"/>
  <c r="AA46" i="20"/>
  <c r="Z46" i="20"/>
  <c r="AB45" i="20"/>
  <c r="AA45" i="20"/>
  <c r="Z45" i="20"/>
  <c r="J45" i="18"/>
  <c r="I45" i="18"/>
  <c r="AA45" i="18" s="1"/>
  <c r="AB44" i="20"/>
  <c r="AA44" i="20"/>
  <c r="Z44" i="20"/>
  <c r="I44" i="18"/>
  <c r="AA44" i="18" s="1"/>
  <c r="AB43" i="20"/>
  <c r="AA43" i="20"/>
  <c r="Z43" i="20"/>
  <c r="J43" i="18"/>
  <c r="AB42" i="20"/>
  <c r="AA42" i="20"/>
  <c r="Z42" i="20"/>
  <c r="K42" i="18"/>
  <c r="J42" i="18"/>
  <c r="AB41" i="20"/>
  <c r="AA41" i="20"/>
  <c r="Z41" i="20"/>
  <c r="AB40" i="20"/>
  <c r="AA40" i="20"/>
  <c r="Z40" i="20"/>
  <c r="AB39" i="20"/>
  <c r="AA39" i="20"/>
  <c r="Z39" i="20"/>
  <c r="AB38" i="20"/>
  <c r="AA38" i="20"/>
  <c r="Z38" i="20"/>
  <c r="K38" i="18"/>
  <c r="J38" i="18"/>
  <c r="AB37" i="20"/>
  <c r="AA37" i="20"/>
  <c r="Z37" i="20"/>
  <c r="J37" i="18"/>
  <c r="I37" i="18"/>
  <c r="AA37" i="18" s="1"/>
  <c r="AB36" i="20"/>
  <c r="AA36" i="20"/>
  <c r="Z36" i="20"/>
  <c r="J36" i="18"/>
  <c r="I36" i="18"/>
  <c r="AB35" i="20"/>
  <c r="AA35" i="20"/>
  <c r="Z35" i="20"/>
  <c r="K35" i="18"/>
  <c r="J35" i="18"/>
  <c r="I35" i="18"/>
  <c r="AA35" i="18" s="1"/>
  <c r="AB34" i="20"/>
  <c r="AA34" i="20"/>
  <c r="Z34" i="20"/>
  <c r="I34" i="18"/>
  <c r="AA34" i="18" s="1"/>
  <c r="AB33" i="20"/>
  <c r="AA33" i="20"/>
  <c r="Z33" i="20"/>
  <c r="AB32" i="20"/>
  <c r="AA32" i="20"/>
  <c r="Z32" i="20"/>
  <c r="AB31" i="20"/>
  <c r="AA31" i="20"/>
  <c r="Z31" i="20"/>
  <c r="J31" i="18"/>
  <c r="AB30" i="20"/>
  <c r="AA30" i="20"/>
  <c r="Z30" i="20"/>
  <c r="J30" i="18"/>
  <c r="AB29" i="20"/>
  <c r="AA29" i="20"/>
  <c r="Z29" i="20"/>
  <c r="AB28" i="20"/>
  <c r="AA28" i="20"/>
  <c r="Z28" i="20"/>
  <c r="K28" i="18"/>
  <c r="I28" i="18"/>
  <c r="AA28" i="18" s="1"/>
  <c r="AB27" i="20"/>
  <c r="AA27" i="20"/>
  <c r="Z27" i="20"/>
  <c r="K27" i="18"/>
  <c r="J27" i="18"/>
  <c r="I27" i="18"/>
  <c r="AA27" i="18" s="1"/>
  <c r="AB26" i="20"/>
  <c r="AA26" i="20"/>
  <c r="Z26" i="20"/>
  <c r="J26" i="18"/>
  <c r="I26" i="18"/>
  <c r="AA26" i="18" s="1"/>
  <c r="AB25" i="20"/>
  <c r="AA25" i="20"/>
  <c r="Z25" i="20"/>
  <c r="AB24" i="20"/>
  <c r="AA24" i="20"/>
  <c r="Z24" i="20"/>
  <c r="I24" i="18"/>
  <c r="AA24" i="18" s="1"/>
  <c r="AB23" i="20"/>
  <c r="AA23" i="20"/>
  <c r="Z23" i="20"/>
  <c r="AB22" i="20"/>
  <c r="AA22" i="20"/>
  <c r="Z22" i="20"/>
  <c r="K22" i="18"/>
  <c r="AB21" i="20"/>
  <c r="AA21" i="20"/>
  <c r="Z21" i="20"/>
  <c r="J21" i="18"/>
  <c r="I21" i="18"/>
  <c r="AA21" i="18" s="1"/>
  <c r="AB20" i="20"/>
  <c r="AA20" i="20"/>
  <c r="Z20" i="20"/>
  <c r="AB19" i="20"/>
  <c r="AA19" i="20"/>
  <c r="Z19" i="20"/>
  <c r="K19" i="18"/>
  <c r="J19" i="18"/>
  <c r="AB18" i="20"/>
  <c r="AA18" i="20"/>
  <c r="Z18" i="20"/>
  <c r="I18" i="18"/>
  <c r="AA18" i="18" s="1"/>
  <c r="AB17" i="20"/>
  <c r="AA17" i="20"/>
  <c r="Z17" i="20"/>
  <c r="AB16" i="20"/>
  <c r="AA16" i="20"/>
  <c r="Z16" i="20"/>
  <c r="AB15" i="20"/>
  <c r="AA15" i="20"/>
  <c r="Z15" i="20"/>
  <c r="AB14" i="20"/>
  <c r="AA14" i="20"/>
  <c r="Z14" i="20"/>
  <c r="K14" i="18"/>
  <c r="J14" i="18"/>
  <c r="AB13" i="20"/>
  <c r="AA13" i="20"/>
  <c r="Z13" i="20"/>
  <c r="AB12" i="20"/>
  <c r="AA12" i="20"/>
  <c r="Z12" i="20"/>
  <c r="K12" i="18"/>
  <c r="J12" i="18"/>
  <c r="AB11" i="20"/>
  <c r="AA11" i="20"/>
  <c r="Z11" i="20"/>
  <c r="K11" i="18"/>
  <c r="J11" i="18"/>
  <c r="I11" i="18"/>
  <c r="AA11" i="18" s="1"/>
  <c r="AB10" i="20"/>
  <c r="AA10" i="20"/>
  <c r="Z10" i="20"/>
  <c r="J10" i="18"/>
  <c r="I10" i="18"/>
  <c r="AA10" i="18" s="1"/>
  <c r="AB9" i="20"/>
  <c r="AA9" i="20"/>
  <c r="Z9" i="20"/>
  <c r="AB8" i="20"/>
  <c r="AA8" i="20"/>
  <c r="Z8" i="20"/>
  <c r="AB7" i="20"/>
  <c r="AA7" i="20"/>
  <c r="Z7" i="20"/>
  <c r="AB6" i="20"/>
  <c r="AA6" i="20"/>
  <c r="Z6" i="20"/>
  <c r="AB5" i="20"/>
  <c r="AA5" i="20"/>
  <c r="Z5" i="20"/>
  <c r="K5" i="18"/>
  <c r="G192" i="21"/>
  <c r="G184" i="21"/>
  <c r="G176" i="21"/>
  <c r="AO174" i="21"/>
  <c r="AK174" i="21"/>
  <c r="AO173" i="21"/>
  <c r="AK173" i="21"/>
  <c r="AO172" i="21"/>
  <c r="AK172" i="21"/>
  <c r="AO171" i="21"/>
  <c r="AK171" i="21"/>
  <c r="AO169" i="21"/>
  <c r="AK169" i="21"/>
  <c r="G168" i="21"/>
  <c r="AO166" i="21"/>
  <c r="AO165" i="21"/>
  <c r="AO164" i="21"/>
  <c r="AO163" i="21"/>
  <c r="AO161" i="21"/>
  <c r="AM161" i="21"/>
  <c r="G160" i="21"/>
  <c r="AK140" i="21"/>
  <c r="AJ140" i="21"/>
  <c r="AI140" i="21"/>
  <c r="K62" i="17" s="1"/>
  <c r="Y140" i="21"/>
  <c r="X140" i="21"/>
  <c r="R140" i="21"/>
  <c r="Q140" i="21"/>
  <c r="P140" i="21"/>
  <c r="K37" i="17" s="1"/>
  <c r="H140" i="21"/>
  <c r="G140" i="21"/>
  <c r="F140" i="21"/>
  <c r="K36" i="17" s="1"/>
  <c r="AK139" i="21"/>
  <c r="AJ139" i="21"/>
  <c r="Y139" i="21"/>
  <c r="X139" i="21"/>
  <c r="R139" i="21"/>
  <c r="Q139" i="21"/>
  <c r="P139" i="21"/>
  <c r="J37" i="17" s="1"/>
  <c r="H139" i="21"/>
  <c r="G139" i="21"/>
  <c r="F139" i="21"/>
  <c r="J36" i="17" s="1"/>
  <c r="AK138" i="21"/>
  <c r="AJ138" i="21"/>
  <c r="AI138" i="21"/>
  <c r="I62" i="17" s="1"/>
  <c r="Y138" i="21"/>
  <c r="X138" i="21"/>
  <c r="Q138" i="21"/>
  <c r="P138" i="21"/>
  <c r="I37" i="17" s="1"/>
  <c r="H138" i="21"/>
  <c r="G138" i="21"/>
  <c r="F138" i="21"/>
  <c r="I36" i="17" s="1"/>
  <c r="AK135" i="21"/>
  <c r="AJ135" i="21"/>
  <c r="AI135" i="21"/>
  <c r="Y135" i="21"/>
  <c r="X135" i="21"/>
  <c r="W135" i="21"/>
  <c r="R135" i="21"/>
  <c r="Q135" i="21"/>
  <c r="P135" i="21"/>
  <c r="H135" i="21"/>
  <c r="G135" i="21"/>
  <c r="F135" i="21"/>
  <c r="M128" i="18"/>
  <c r="AG113" i="21"/>
  <c r="L109" i="18"/>
  <c r="AC109" i="18" s="1"/>
  <c r="N108" i="18"/>
  <c r="M43" i="18"/>
  <c r="M45" i="18"/>
  <c r="M47" i="18"/>
  <c r="M55" i="18"/>
  <c r="M83" i="18"/>
  <c r="L103" i="18"/>
  <c r="AC103" i="18" s="1"/>
  <c r="AG98" i="21"/>
  <c r="AG97" i="21"/>
  <c r="N91" i="18"/>
  <c r="AG91" i="21"/>
  <c r="AG89" i="21"/>
  <c r="AG85" i="21"/>
  <c r="F78" i="18"/>
  <c r="Y78" i="18" s="1"/>
  <c r="AG75" i="21"/>
  <c r="AG73" i="21"/>
  <c r="AG72" i="21"/>
  <c r="L69" i="18"/>
  <c r="AC69" i="18" s="1"/>
  <c r="AG69" i="21"/>
  <c r="AG51" i="21"/>
  <c r="AG50" i="21"/>
  <c r="N49" i="18"/>
  <c r="AG46" i="21"/>
  <c r="N39" i="18"/>
  <c r="AG39" i="21"/>
  <c r="AG38" i="21"/>
  <c r="N37" i="18"/>
  <c r="AF34" i="21"/>
  <c r="N33" i="18"/>
  <c r="AG31" i="21"/>
  <c r="AF29" i="21"/>
  <c r="AG22" i="21"/>
  <c r="N21" i="18"/>
  <c r="N16" i="18"/>
  <c r="AG14" i="21"/>
  <c r="X180" i="22"/>
  <c r="W180" i="22"/>
  <c r="AG134" i="22"/>
  <c r="AG133" i="22"/>
  <c r="AA133" i="22"/>
  <c r="R135" i="23"/>
  <c r="S135" i="23" s="1"/>
  <c r="O137" i="23"/>
  <c r="P137" i="23" s="1"/>
  <c r="R136" i="23"/>
  <c r="S136" i="23" s="1"/>
  <c r="O136" i="23"/>
  <c r="P136" i="23" s="1"/>
  <c r="K136" i="23"/>
  <c r="K135" i="23"/>
  <c r="U137" i="24"/>
  <c r="U142" i="24" s="1"/>
  <c r="T137" i="24"/>
  <c r="T142" i="24" s="1"/>
  <c r="S137" i="24"/>
  <c r="S142" i="24" s="1"/>
  <c r="R137" i="24"/>
  <c r="R142" i="24" s="1"/>
  <c r="Q137" i="24"/>
  <c r="Q142" i="24" s="1"/>
  <c r="P137" i="24"/>
  <c r="P142" i="24" s="1"/>
  <c r="O137" i="24"/>
  <c r="O142" i="24" s="1"/>
  <c r="N137" i="24"/>
  <c r="N142" i="24" s="1"/>
  <c r="M137" i="24"/>
  <c r="M142" i="24" s="1"/>
  <c r="L137" i="24"/>
  <c r="L142" i="24" s="1"/>
  <c r="K137" i="24"/>
  <c r="K142" i="24" s="1"/>
  <c r="J137" i="24"/>
  <c r="J142" i="24" s="1"/>
  <c r="I137" i="24"/>
  <c r="I142" i="24" s="1"/>
  <c r="H137" i="24"/>
  <c r="H142" i="24" s="1"/>
  <c r="G137" i="24"/>
  <c r="G142" i="24" s="1"/>
  <c r="F137" i="24"/>
  <c r="F142" i="24" s="1"/>
  <c r="E142" i="24"/>
  <c r="U136" i="24"/>
  <c r="U141" i="24" s="1"/>
  <c r="T136" i="24"/>
  <c r="T141" i="24" s="1"/>
  <c r="S136" i="24"/>
  <c r="S141" i="24" s="1"/>
  <c r="R136" i="24"/>
  <c r="R141" i="24" s="1"/>
  <c r="Q136" i="24"/>
  <c r="Q141" i="24" s="1"/>
  <c r="P136" i="24"/>
  <c r="P141" i="24" s="1"/>
  <c r="O136" i="24"/>
  <c r="O141" i="24" s="1"/>
  <c r="N136" i="24"/>
  <c r="N141" i="24" s="1"/>
  <c r="M136" i="24"/>
  <c r="M141" i="24" s="1"/>
  <c r="L136" i="24"/>
  <c r="L141" i="24" s="1"/>
  <c r="K136" i="24"/>
  <c r="K141" i="24" s="1"/>
  <c r="J136" i="24"/>
  <c r="J141" i="24" s="1"/>
  <c r="I136" i="24"/>
  <c r="I141" i="24" s="1"/>
  <c r="H136" i="24"/>
  <c r="H141" i="24" s="1"/>
  <c r="G136" i="24"/>
  <c r="G141" i="24" s="1"/>
  <c r="F136" i="24"/>
  <c r="F141" i="24" s="1"/>
  <c r="E141" i="24"/>
  <c r="U135" i="24"/>
  <c r="U140" i="24" s="1"/>
  <c r="T135" i="24"/>
  <c r="S135" i="24"/>
  <c r="S140" i="24" s="1"/>
  <c r="R135" i="24"/>
  <c r="R138" i="24" s="1"/>
  <c r="R143" i="24" s="1"/>
  <c r="Q135" i="24"/>
  <c r="Q140" i="24" s="1"/>
  <c r="P135" i="24"/>
  <c r="P140" i="24" s="1"/>
  <c r="O135" i="24"/>
  <c r="O140" i="24" s="1"/>
  <c r="N135" i="24"/>
  <c r="M135" i="24"/>
  <c r="M140" i="24" s="1"/>
  <c r="L135" i="24"/>
  <c r="L140" i="24" s="1"/>
  <c r="K135" i="24"/>
  <c r="K140" i="24" s="1"/>
  <c r="J135" i="24"/>
  <c r="I135" i="24"/>
  <c r="I140" i="24" s="1"/>
  <c r="H135" i="24"/>
  <c r="G135" i="24"/>
  <c r="G140" i="24" s="1"/>
  <c r="F135" i="24"/>
  <c r="E140" i="24"/>
  <c r="U133" i="24"/>
  <c r="T133" i="24"/>
  <c r="S133" i="24"/>
  <c r="R133" i="24"/>
  <c r="Q133" i="24"/>
  <c r="P133" i="24"/>
  <c r="O133" i="24"/>
  <c r="N133" i="24"/>
  <c r="M133" i="24"/>
  <c r="L133" i="24"/>
  <c r="K133" i="24"/>
  <c r="J133" i="24"/>
  <c r="I133" i="24"/>
  <c r="H133" i="24"/>
  <c r="G133" i="24"/>
  <c r="F133" i="24"/>
  <c r="E133" i="24"/>
  <c r="J30" i="25"/>
  <c r="G30" i="25"/>
  <c r="F30" i="25"/>
  <c r="E30" i="25"/>
  <c r="J29" i="25"/>
  <c r="G29" i="25"/>
  <c r="F29" i="25"/>
  <c r="E29" i="25"/>
  <c r="J28" i="25"/>
  <c r="G28" i="25"/>
  <c r="F28" i="25"/>
  <c r="E28" i="25"/>
  <c r="J27" i="25"/>
  <c r="G27" i="25"/>
  <c r="F27" i="25"/>
  <c r="E27" i="25"/>
  <c r="J26" i="25"/>
  <c r="G26" i="25"/>
  <c r="F26" i="25"/>
  <c r="E26" i="25"/>
  <c r="J25" i="25"/>
  <c r="G25" i="25"/>
  <c r="F25" i="25"/>
  <c r="E25" i="25"/>
  <c r="M17" i="25"/>
  <c r="M16" i="25"/>
  <c r="M15" i="25"/>
  <c r="M12" i="25"/>
  <c r="M11" i="25"/>
  <c r="M10" i="25"/>
  <c r="M6" i="25"/>
  <c r="E197" i="19"/>
  <c r="E189" i="19"/>
  <c r="E182" i="19"/>
  <c r="E175" i="19"/>
  <c r="Z171" i="19"/>
  <c r="X171" i="19"/>
  <c r="W171" i="19"/>
  <c r="V171" i="19"/>
  <c r="Z170" i="19"/>
  <c r="X170" i="19"/>
  <c r="W170" i="19"/>
  <c r="V170" i="19"/>
  <c r="Z169" i="19"/>
  <c r="X169" i="19"/>
  <c r="W169" i="19"/>
  <c r="V169" i="19"/>
  <c r="Z168" i="19"/>
  <c r="X168" i="19"/>
  <c r="W168" i="19"/>
  <c r="V168" i="19"/>
  <c r="E168" i="19"/>
  <c r="Z166" i="19"/>
  <c r="X166" i="19"/>
  <c r="W166" i="19"/>
  <c r="V166" i="19"/>
  <c r="E161" i="19"/>
  <c r="AF159" i="19"/>
  <c r="AD140" i="19"/>
  <c r="AC140" i="19"/>
  <c r="T140" i="19"/>
  <c r="S140" i="19"/>
  <c r="R140" i="19"/>
  <c r="K14" i="17" s="1"/>
  <c r="P140" i="19"/>
  <c r="O140" i="19"/>
  <c r="N140" i="19"/>
  <c r="K13" i="17" s="1"/>
  <c r="L140" i="19"/>
  <c r="K140" i="19"/>
  <c r="J140" i="19"/>
  <c r="K59" i="17" s="1"/>
  <c r="K67" i="17" s="1"/>
  <c r="H140" i="19"/>
  <c r="AD139" i="19"/>
  <c r="AC139" i="19"/>
  <c r="AB139" i="19"/>
  <c r="J60" i="17" s="1"/>
  <c r="T139" i="19"/>
  <c r="S139" i="19"/>
  <c r="R139" i="19"/>
  <c r="J14" i="17" s="1"/>
  <c r="P139" i="19"/>
  <c r="O139" i="19"/>
  <c r="N139" i="19"/>
  <c r="J13" i="17" s="1"/>
  <c r="L139" i="19"/>
  <c r="K139" i="19"/>
  <c r="J139" i="19"/>
  <c r="J59" i="17" s="1"/>
  <c r="J67" i="17" s="1"/>
  <c r="H139" i="19"/>
  <c r="AD138" i="19"/>
  <c r="AC138" i="19"/>
  <c r="AB138" i="19"/>
  <c r="I60" i="17" s="1"/>
  <c r="T138" i="19"/>
  <c r="S138" i="19"/>
  <c r="R138" i="19"/>
  <c r="I14" i="17" s="1"/>
  <c r="P138" i="19"/>
  <c r="O138" i="19"/>
  <c r="N138" i="19"/>
  <c r="I13" i="17" s="1"/>
  <c r="L138" i="19"/>
  <c r="K138" i="19"/>
  <c r="J138" i="19"/>
  <c r="Z138" i="19" s="1"/>
  <c r="H138" i="19"/>
  <c r="E138" i="19"/>
  <c r="AD136" i="19"/>
  <c r="AC136" i="19"/>
  <c r="AB136" i="19"/>
  <c r="T136" i="19"/>
  <c r="S136" i="19"/>
  <c r="R136" i="19"/>
  <c r="P136" i="19"/>
  <c r="O136" i="19"/>
  <c r="N136" i="19"/>
  <c r="L136" i="19"/>
  <c r="K136" i="19"/>
  <c r="J136" i="19"/>
  <c r="H136" i="19"/>
  <c r="F136" i="19"/>
  <c r="Z133" i="19"/>
  <c r="Z132" i="19"/>
  <c r="Z131" i="19"/>
  <c r="Z130" i="19"/>
  <c r="Z129" i="19"/>
  <c r="Z128" i="19"/>
  <c r="Z127" i="19"/>
  <c r="Z126" i="19"/>
  <c r="Z125" i="19"/>
  <c r="Z124" i="19"/>
  <c r="Z123" i="19"/>
  <c r="Z122" i="19"/>
  <c r="Z121" i="19"/>
  <c r="Z120" i="19"/>
  <c r="Z119" i="19"/>
  <c r="H118" i="18"/>
  <c r="Z118" i="19"/>
  <c r="Z117" i="19"/>
  <c r="Z116" i="19"/>
  <c r="Z115" i="19"/>
  <c r="Z114" i="19"/>
  <c r="Z113" i="19"/>
  <c r="Z112" i="19"/>
  <c r="Z111" i="19"/>
  <c r="Z110" i="19"/>
  <c r="G109" i="18"/>
  <c r="Z109" i="19"/>
  <c r="Z108" i="19"/>
  <c r="Z107" i="19"/>
  <c r="Z106" i="19"/>
  <c r="H105" i="18"/>
  <c r="Z105" i="19"/>
  <c r="F104" i="18"/>
  <c r="Y104" i="18" s="1"/>
  <c r="Z104" i="19"/>
  <c r="Z103" i="19"/>
  <c r="Z102" i="19"/>
  <c r="Z101" i="19"/>
  <c r="Z100" i="19"/>
  <c r="Z99" i="19"/>
  <c r="Z98" i="19"/>
  <c r="Z97" i="19"/>
  <c r="Z96" i="19"/>
  <c r="Z95" i="19"/>
  <c r="Z94" i="19"/>
  <c r="H93" i="18"/>
  <c r="Z93" i="19"/>
  <c r="Z92" i="19"/>
  <c r="Z91" i="19"/>
  <c r="Z90" i="19"/>
  <c r="Z89" i="19"/>
  <c r="Z88" i="19"/>
  <c r="Z87" i="19"/>
  <c r="Z86" i="19"/>
  <c r="Z85" i="19"/>
  <c r="Z84" i="19"/>
  <c r="F83" i="18"/>
  <c r="Y83" i="18" s="1"/>
  <c r="Z83" i="19"/>
  <c r="Z82" i="19"/>
  <c r="F81" i="18"/>
  <c r="Y81" i="18" s="1"/>
  <c r="Z81" i="19"/>
  <c r="Z80" i="19"/>
  <c r="Z79" i="19"/>
  <c r="Z78" i="19"/>
  <c r="Z77" i="19"/>
  <c r="Z76" i="19"/>
  <c r="H75" i="18"/>
  <c r="Z75" i="19"/>
  <c r="F74" i="18"/>
  <c r="Y74" i="18" s="1"/>
  <c r="Z74" i="19"/>
  <c r="Z73" i="19"/>
  <c r="H72" i="18"/>
  <c r="Z72" i="19"/>
  <c r="H71" i="18"/>
  <c r="Z71" i="19"/>
  <c r="Z70" i="19"/>
  <c r="Z69" i="19"/>
  <c r="Z68" i="19"/>
  <c r="Z67" i="19"/>
  <c r="Z66" i="19"/>
  <c r="Z65" i="19"/>
  <c r="Z64" i="19"/>
  <c r="Z63" i="19"/>
  <c r="F62" i="18"/>
  <c r="Z62" i="19"/>
  <c r="H61" i="18"/>
  <c r="Z61" i="19"/>
  <c r="Z60" i="19"/>
  <c r="Z59" i="19"/>
  <c r="Z58" i="19"/>
  <c r="G57" i="18"/>
  <c r="Z57" i="19"/>
  <c r="Z56" i="19"/>
  <c r="Z55" i="19"/>
  <c r="Z54" i="19"/>
  <c r="Z53" i="19"/>
  <c r="Z52" i="19"/>
  <c r="Z51" i="19"/>
  <c r="H50" i="18"/>
  <c r="Z50" i="19"/>
  <c r="Z49" i="19"/>
  <c r="G48" i="18"/>
  <c r="Z48" i="19"/>
  <c r="Z47" i="19"/>
  <c r="H46" i="18"/>
  <c r="Z46" i="19"/>
  <c r="Z45" i="19"/>
  <c r="Z44" i="19"/>
  <c r="Z43" i="19"/>
  <c r="H42" i="18"/>
  <c r="Z42" i="19"/>
  <c r="G41" i="18"/>
  <c r="Z41" i="19"/>
  <c r="Z40" i="19"/>
  <c r="Z39" i="19"/>
  <c r="Z38" i="19"/>
  <c r="Z37" i="19"/>
  <c r="Z36" i="19"/>
  <c r="Z35" i="19"/>
  <c r="Z34" i="19"/>
  <c r="Z33" i="19"/>
  <c r="G32" i="18"/>
  <c r="Z32" i="19"/>
  <c r="Z31" i="19"/>
  <c r="Z30" i="19"/>
  <c r="Z29" i="19"/>
  <c r="Z28" i="19"/>
  <c r="Z27" i="19"/>
  <c r="Z26" i="19"/>
  <c r="Z25" i="19"/>
  <c r="F24" i="18"/>
  <c r="Y24" i="18" s="1"/>
  <c r="Z24" i="19"/>
  <c r="F23" i="18"/>
  <c r="Y23" i="18" s="1"/>
  <c r="Z23" i="19"/>
  <c r="F22" i="18"/>
  <c r="Y22" i="18" s="1"/>
  <c r="Z22" i="19"/>
  <c r="Z21" i="19"/>
  <c r="Z20" i="19"/>
  <c r="Z19" i="19"/>
  <c r="Z18" i="19"/>
  <c r="Z17" i="19"/>
  <c r="G16" i="18"/>
  <c r="Z16" i="19"/>
  <c r="Z15" i="19"/>
  <c r="Z14" i="19"/>
  <c r="H13" i="18"/>
  <c r="G140" i="19"/>
  <c r="Z13" i="19"/>
  <c r="Z12" i="19"/>
  <c r="H11" i="18"/>
  <c r="Z11" i="19"/>
  <c r="Z10" i="19"/>
  <c r="Z9" i="19"/>
  <c r="Z8" i="19"/>
  <c r="G139" i="19"/>
  <c r="Z7" i="19"/>
  <c r="Z6" i="19"/>
  <c r="R224" i="18"/>
  <c r="Q224" i="18"/>
  <c r="S224" i="18" s="1"/>
  <c r="P224" i="18"/>
  <c r="R223" i="18"/>
  <c r="Q223" i="18"/>
  <c r="P223" i="18"/>
  <c r="R222" i="18"/>
  <c r="Q222" i="18"/>
  <c r="S222" i="18" s="1"/>
  <c r="P222" i="18"/>
  <c r="R221" i="18"/>
  <c r="Q221" i="18"/>
  <c r="P221" i="18"/>
  <c r="R219" i="18"/>
  <c r="Q219" i="18"/>
  <c r="P219" i="18"/>
  <c r="Y67" i="18"/>
  <c r="AF18" i="21"/>
  <c r="AF22" i="21"/>
  <c r="AF26" i="21"/>
  <c r="AG29" i="21"/>
  <c r="AG96" i="21"/>
  <c r="AG112" i="21"/>
  <c r="AG116" i="21"/>
  <c r="AG132" i="21"/>
  <c r="AG111" i="21"/>
  <c r="AG33" i="21"/>
  <c r="AF40" i="21"/>
  <c r="AG49" i="21"/>
  <c r="AG71" i="21"/>
  <c r="AG76" i="21"/>
  <c r="AG92" i="21"/>
  <c r="AG114" i="21"/>
  <c r="AG118" i="21"/>
  <c r="AG122" i="21"/>
  <c r="AF11" i="21"/>
  <c r="AG12" i="21"/>
  <c r="AG16" i="21"/>
  <c r="AG9" i="21"/>
  <c r="AG13" i="21"/>
  <c r="AG32" i="21"/>
  <c r="AG36" i="21"/>
  <c r="AF39" i="21"/>
  <c r="AF43" i="21"/>
  <c r="AG64" i="21"/>
  <c r="AG66" i="21"/>
  <c r="AG70" i="21"/>
  <c r="AG74" i="21"/>
  <c r="AG78" i="21"/>
  <c r="AG94" i="21"/>
  <c r="AG10" i="21"/>
  <c r="AG30" i="21"/>
  <c r="AF111" i="21"/>
  <c r="AA111" i="21"/>
  <c r="AF88" i="21"/>
  <c r="AF92" i="21"/>
  <c r="AF109" i="21"/>
  <c r="AF99" i="21"/>
  <c r="AF74" i="21"/>
  <c r="AF73" i="21"/>
  <c r="AF69" i="21"/>
  <c r="AF112" i="21"/>
  <c r="AF113" i="21"/>
  <c r="AF114" i="21"/>
  <c r="AF118" i="21"/>
  <c r="AF119" i="21"/>
  <c r="AF127" i="21"/>
  <c r="AF128" i="21"/>
  <c r="AA31" i="21"/>
  <c r="AA46" i="21"/>
  <c r="AA51" i="21"/>
  <c r="AA52" i="21"/>
  <c r="AA54" i="21"/>
  <c r="AA91" i="21"/>
  <c r="AA93" i="21"/>
  <c r="AA114" i="21"/>
  <c r="M19" i="25"/>
  <c r="M23" i="25"/>
  <c r="L26" i="25"/>
  <c r="K30" i="25"/>
  <c r="M18" i="25"/>
  <c r="M22" i="25"/>
  <c r="L27" i="25"/>
  <c r="L28" i="25"/>
  <c r="G138" i="19"/>
  <c r="G136" i="19"/>
  <c r="S221" i="18"/>
  <c r="R291" i="1"/>
  <c r="Q291" i="1"/>
  <c r="P291" i="1"/>
  <c r="O291" i="1"/>
  <c r="N291" i="1"/>
  <c r="L291" i="1"/>
  <c r="E291" i="1"/>
  <c r="D291" i="1"/>
  <c r="C291" i="1"/>
  <c r="B291" i="1"/>
  <c r="R290" i="1"/>
  <c r="Q290" i="1"/>
  <c r="P290" i="1"/>
  <c r="O290" i="1"/>
  <c r="N290" i="1"/>
  <c r="L290" i="1"/>
  <c r="E290" i="1"/>
  <c r="D290" i="1"/>
  <c r="C290" i="1"/>
  <c r="B290" i="1"/>
  <c r="R289" i="1"/>
  <c r="Q289" i="1"/>
  <c r="P289" i="1"/>
  <c r="O289" i="1"/>
  <c r="N289" i="1"/>
  <c r="L289" i="1"/>
  <c r="E289" i="1"/>
  <c r="D289" i="1"/>
  <c r="C289" i="1"/>
  <c r="B289" i="1"/>
  <c r="R288" i="1"/>
  <c r="Q288" i="1"/>
  <c r="P288" i="1"/>
  <c r="O288" i="1"/>
  <c r="N288" i="1"/>
  <c r="L288" i="1"/>
  <c r="E288" i="1"/>
  <c r="D288" i="1"/>
  <c r="C288" i="1"/>
  <c r="B288" i="1"/>
  <c r="R287" i="1"/>
  <c r="Q287" i="1"/>
  <c r="P287" i="1"/>
  <c r="O287" i="1"/>
  <c r="N287" i="1"/>
  <c r="L287" i="1"/>
  <c r="E287" i="1"/>
  <c r="D287" i="1"/>
  <c r="C287" i="1"/>
  <c r="B287" i="1"/>
  <c r="R286" i="1"/>
  <c r="Q286" i="1"/>
  <c r="P286" i="1"/>
  <c r="O286" i="1"/>
  <c r="N286" i="1"/>
  <c r="L286" i="1"/>
  <c r="E286" i="1"/>
  <c r="D286" i="1"/>
  <c r="C286" i="1"/>
  <c r="B286" i="1"/>
  <c r="R285" i="1"/>
  <c r="Q285" i="1"/>
  <c r="P285" i="1"/>
  <c r="O285" i="1"/>
  <c r="N285" i="1"/>
  <c r="L285" i="1"/>
  <c r="E285" i="1"/>
  <c r="D285" i="1"/>
  <c r="C285" i="1"/>
  <c r="B285" i="1"/>
  <c r="R284" i="1"/>
  <c r="Q284" i="1"/>
  <c r="P284" i="1"/>
  <c r="O284" i="1"/>
  <c r="N284" i="1"/>
  <c r="L284" i="1"/>
  <c r="E284" i="1"/>
  <c r="D284" i="1"/>
  <c r="C284" i="1"/>
  <c r="B284" i="1"/>
  <c r="R283" i="1"/>
  <c r="Q283" i="1"/>
  <c r="P283" i="1"/>
  <c r="O283" i="1"/>
  <c r="N283" i="1"/>
  <c r="L283" i="1"/>
  <c r="E283" i="1"/>
  <c r="D283" i="1"/>
  <c r="C283" i="1"/>
  <c r="B283" i="1"/>
  <c r="R282" i="1"/>
  <c r="Q282" i="1"/>
  <c r="P282" i="1"/>
  <c r="O282" i="1"/>
  <c r="N282" i="1"/>
  <c r="L282" i="1"/>
  <c r="E282" i="1"/>
  <c r="D282" i="1"/>
  <c r="C282" i="1"/>
  <c r="B282" i="1"/>
  <c r="R281" i="1"/>
  <c r="Q281" i="1"/>
  <c r="P281" i="1"/>
  <c r="O281" i="1"/>
  <c r="N281" i="1"/>
  <c r="L281" i="1"/>
  <c r="E281" i="1"/>
  <c r="D281" i="1"/>
  <c r="C281" i="1"/>
  <c r="B281" i="1"/>
  <c r="R280" i="1"/>
  <c r="Q280" i="1"/>
  <c r="P280" i="1"/>
  <c r="O280" i="1"/>
  <c r="N280" i="1"/>
  <c r="L280" i="1"/>
  <c r="E280" i="1"/>
  <c r="D280" i="1"/>
  <c r="C280" i="1"/>
  <c r="B280" i="1"/>
  <c r="R279" i="1"/>
  <c r="Q279" i="1"/>
  <c r="P279" i="1"/>
  <c r="O279" i="1"/>
  <c r="N279" i="1"/>
  <c r="L279" i="1"/>
  <c r="E279" i="1"/>
  <c r="D279" i="1"/>
  <c r="C279" i="1"/>
  <c r="B279" i="1"/>
  <c r="R278" i="1"/>
  <c r="Q278" i="1"/>
  <c r="P278" i="1"/>
  <c r="O278" i="1"/>
  <c r="N278" i="1"/>
  <c r="L278" i="1"/>
  <c r="E278" i="1"/>
  <c r="D278" i="1"/>
  <c r="C278" i="1"/>
  <c r="B278" i="1"/>
  <c r="R277" i="1"/>
  <c r="Q277" i="1"/>
  <c r="P277" i="1"/>
  <c r="O277" i="1"/>
  <c r="N277" i="1"/>
  <c r="L277" i="1"/>
  <c r="E277" i="1"/>
  <c r="D277" i="1"/>
  <c r="C277" i="1"/>
  <c r="B277" i="1"/>
  <c r="R276" i="1"/>
  <c r="Q276" i="1"/>
  <c r="P276" i="1"/>
  <c r="O276" i="1"/>
  <c r="N276" i="1"/>
  <c r="L276" i="1"/>
  <c r="E276" i="1"/>
  <c r="D276" i="1"/>
  <c r="C276" i="1"/>
  <c r="B276" i="1"/>
  <c r="R275" i="1"/>
  <c r="Q275" i="1"/>
  <c r="P275" i="1"/>
  <c r="O275" i="1"/>
  <c r="N275" i="1"/>
  <c r="L275" i="1"/>
  <c r="E275" i="1"/>
  <c r="D275" i="1"/>
  <c r="C275" i="1"/>
  <c r="B275" i="1"/>
  <c r="R274" i="1"/>
  <c r="Q274" i="1"/>
  <c r="P274" i="1"/>
  <c r="O274" i="1"/>
  <c r="N274" i="1"/>
  <c r="L274" i="1"/>
  <c r="E274" i="1"/>
  <c r="D274" i="1"/>
  <c r="C274" i="1"/>
  <c r="B274" i="1"/>
  <c r="R273" i="1"/>
  <c r="Q273" i="1"/>
  <c r="P273" i="1"/>
  <c r="O273" i="1"/>
  <c r="N273" i="1"/>
  <c r="L273" i="1"/>
  <c r="E273" i="1"/>
  <c r="D273" i="1"/>
  <c r="C273" i="1"/>
  <c r="B273" i="1"/>
  <c r="R272" i="1"/>
  <c r="Q272" i="1"/>
  <c r="P272" i="1"/>
  <c r="O272" i="1"/>
  <c r="N272" i="1"/>
  <c r="L272" i="1"/>
  <c r="E272" i="1"/>
  <c r="D272" i="1"/>
  <c r="C272" i="1"/>
  <c r="B272" i="1"/>
  <c r="R271" i="1"/>
  <c r="Q271" i="1"/>
  <c r="P271" i="1"/>
  <c r="O271" i="1"/>
  <c r="N271" i="1"/>
  <c r="L271" i="1"/>
  <c r="E271" i="1"/>
  <c r="D271" i="1"/>
  <c r="C271" i="1"/>
  <c r="B271" i="1"/>
  <c r="R270" i="1"/>
  <c r="Q270" i="1"/>
  <c r="P270" i="1"/>
  <c r="O270" i="1"/>
  <c r="N270" i="1"/>
  <c r="L270" i="1"/>
  <c r="E270" i="1"/>
  <c r="D270" i="1"/>
  <c r="C270" i="1"/>
  <c r="B270" i="1"/>
  <c r="R269" i="1"/>
  <c r="Q269" i="1"/>
  <c r="P269" i="1"/>
  <c r="O269" i="1"/>
  <c r="N269" i="1"/>
  <c r="L269" i="1"/>
  <c r="E269" i="1"/>
  <c r="D269" i="1"/>
  <c r="C269" i="1"/>
  <c r="B269" i="1"/>
  <c r="R268" i="1"/>
  <c r="Q268" i="1"/>
  <c r="P268" i="1"/>
  <c r="O268" i="1"/>
  <c r="N268" i="1"/>
  <c r="L268" i="1"/>
  <c r="E268" i="1"/>
  <c r="D268" i="1"/>
  <c r="C268" i="1"/>
  <c r="B268" i="1"/>
  <c r="R267" i="1"/>
  <c r="Q267" i="1"/>
  <c r="P267" i="1"/>
  <c r="O267" i="1"/>
  <c r="N267" i="1"/>
  <c r="L267" i="1"/>
  <c r="E267" i="1"/>
  <c r="D267" i="1"/>
  <c r="C267" i="1"/>
  <c r="B267" i="1"/>
  <c r="R266" i="1"/>
  <c r="Q266" i="1"/>
  <c r="P266" i="1"/>
  <c r="O266" i="1"/>
  <c r="N266" i="1"/>
  <c r="L266" i="1"/>
  <c r="E266" i="1"/>
  <c r="D266" i="1"/>
  <c r="C266" i="1"/>
  <c r="B266" i="1"/>
  <c r="R265" i="1"/>
  <c r="Q265" i="1"/>
  <c r="P265" i="1"/>
  <c r="O265" i="1"/>
  <c r="N265" i="1"/>
  <c r="L265" i="1"/>
  <c r="E265" i="1"/>
  <c r="D265" i="1"/>
  <c r="C265" i="1"/>
  <c r="B265" i="1"/>
  <c r="R264" i="1"/>
  <c r="Q264" i="1"/>
  <c r="P264" i="1"/>
  <c r="O264" i="1"/>
  <c r="N264" i="1"/>
  <c r="L264" i="1"/>
  <c r="E264" i="1"/>
  <c r="D264" i="1"/>
  <c r="C264" i="1"/>
  <c r="B264" i="1"/>
  <c r="R263" i="1"/>
  <c r="Q263" i="1"/>
  <c r="P263" i="1"/>
  <c r="O263" i="1"/>
  <c r="N263" i="1"/>
  <c r="L263" i="1"/>
  <c r="E263" i="1"/>
  <c r="D263" i="1"/>
  <c r="C263" i="1"/>
  <c r="B263" i="1"/>
  <c r="R262" i="1"/>
  <c r="Q262" i="1"/>
  <c r="P262" i="1"/>
  <c r="O262" i="1"/>
  <c r="N262" i="1"/>
  <c r="L262" i="1"/>
  <c r="E262" i="1"/>
  <c r="D262" i="1"/>
  <c r="C262" i="1"/>
  <c r="B262" i="1"/>
  <c r="R261" i="1"/>
  <c r="Q261" i="1"/>
  <c r="P261" i="1"/>
  <c r="O261" i="1"/>
  <c r="N261" i="1"/>
  <c r="L261" i="1"/>
  <c r="E261" i="1"/>
  <c r="D261" i="1"/>
  <c r="C261" i="1"/>
  <c r="B261" i="1"/>
  <c r="R260" i="1"/>
  <c r="Q260" i="1"/>
  <c r="P260" i="1"/>
  <c r="O260" i="1"/>
  <c r="N260" i="1"/>
  <c r="L260" i="1"/>
  <c r="E260" i="1"/>
  <c r="D260" i="1"/>
  <c r="C260" i="1"/>
  <c r="B260" i="1"/>
  <c r="R259" i="1"/>
  <c r="Q259" i="1"/>
  <c r="P259" i="1"/>
  <c r="O259" i="1"/>
  <c r="N259" i="1"/>
  <c r="L259" i="1"/>
  <c r="E259" i="1"/>
  <c r="D259" i="1"/>
  <c r="C259" i="1"/>
  <c r="B259" i="1"/>
  <c r="R258" i="1"/>
  <c r="Q258" i="1"/>
  <c r="P258" i="1"/>
  <c r="O258" i="1"/>
  <c r="N258" i="1"/>
  <c r="L258" i="1"/>
  <c r="E258" i="1"/>
  <c r="D258" i="1"/>
  <c r="C258" i="1"/>
  <c r="B258" i="1"/>
  <c r="R257" i="1"/>
  <c r="Q257" i="1"/>
  <c r="P257" i="1"/>
  <c r="O257" i="1"/>
  <c r="N257" i="1"/>
  <c r="L257" i="1"/>
  <c r="E257" i="1"/>
  <c r="D257" i="1"/>
  <c r="C257" i="1"/>
  <c r="B257" i="1"/>
  <c r="R256" i="1"/>
  <c r="Q256" i="1"/>
  <c r="P256" i="1"/>
  <c r="O256" i="1"/>
  <c r="N256" i="1"/>
  <c r="L256" i="1"/>
  <c r="E256" i="1"/>
  <c r="D256" i="1"/>
  <c r="C256" i="1"/>
  <c r="B256" i="1"/>
  <c r="R255" i="1"/>
  <c r="Q255" i="1"/>
  <c r="P255" i="1"/>
  <c r="O255" i="1"/>
  <c r="N255" i="1"/>
  <c r="L255" i="1"/>
  <c r="E255" i="1"/>
  <c r="D255" i="1"/>
  <c r="C255" i="1"/>
  <c r="B255" i="1"/>
  <c r="R254" i="1"/>
  <c r="Q254" i="1"/>
  <c r="P254" i="1"/>
  <c r="O254" i="1"/>
  <c r="N254" i="1"/>
  <c r="L254" i="1"/>
  <c r="E254" i="1"/>
  <c r="D254" i="1"/>
  <c r="C254" i="1"/>
  <c r="B254" i="1"/>
  <c r="R253" i="1"/>
  <c r="Q253" i="1"/>
  <c r="P253" i="1"/>
  <c r="O253" i="1"/>
  <c r="N253" i="1"/>
  <c r="L253" i="1"/>
  <c r="E253" i="1"/>
  <c r="D253" i="1"/>
  <c r="C253" i="1"/>
  <c r="B253" i="1"/>
  <c r="R252" i="1"/>
  <c r="Q252" i="1"/>
  <c r="P252" i="1"/>
  <c r="O252" i="1"/>
  <c r="N252" i="1"/>
  <c r="L252" i="1"/>
  <c r="E252" i="1"/>
  <c r="D252" i="1"/>
  <c r="C252" i="1"/>
  <c r="B252" i="1"/>
  <c r="R251" i="1"/>
  <c r="Q251" i="1"/>
  <c r="P251" i="1"/>
  <c r="O251" i="1"/>
  <c r="N251" i="1"/>
  <c r="L251" i="1"/>
  <c r="E251" i="1"/>
  <c r="D251" i="1"/>
  <c r="C251" i="1"/>
  <c r="B251" i="1"/>
  <c r="R250" i="1"/>
  <c r="Q250" i="1"/>
  <c r="P250" i="1"/>
  <c r="O250" i="1"/>
  <c r="N250" i="1"/>
  <c r="L250" i="1"/>
  <c r="E250" i="1"/>
  <c r="D250" i="1"/>
  <c r="C250" i="1"/>
  <c r="B250" i="1"/>
  <c r="R249" i="1"/>
  <c r="Q249" i="1"/>
  <c r="P249" i="1"/>
  <c r="O249" i="1"/>
  <c r="N249" i="1"/>
  <c r="L249" i="1"/>
  <c r="E249" i="1"/>
  <c r="D249" i="1"/>
  <c r="C249" i="1"/>
  <c r="B249" i="1"/>
  <c r="R248" i="1"/>
  <c r="Q248" i="1"/>
  <c r="P248" i="1"/>
  <c r="O248" i="1"/>
  <c r="N248" i="1"/>
  <c r="L248" i="1"/>
  <c r="E248" i="1"/>
  <c r="D248" i="1"/>
  <c r="C248" i="1"/>
  <c r="B248" i="1"/>
  <c r="R247" i="1"/>
  <c r="Q247" i="1"/>
  <c r="P247" i="1"/>
  <c r="O247" i="1"/>
  <c r="N247" i="1"/>
  <c r="L247" i="1"/>
  <c r="E247" i="1"/>
  <c r="D247" i="1"/>
  <c r="C247" i="1"/>
  <c r="B247" i="1"/>
  <c r="R246" i="1"/>
  <c r="Q246" i="1"/>
  <c r="P246" i="1"/>
  <c r="O246" i="1"/>
  <c r="N246" i="1"/>
  <c r="L246" i="1"/>
  <c r="E246" i="1"/>
  <c r="D246" i="1"/>
  <c r="C246" i="1"/>
  <c r="B246" i="1"/>
  <c r="R245" i="1"/>
  <c r="Q245" i="1"/>
  <c r="P245" i="1"/>
  <c r="O245" i="1"/>
  <c r="N245" i="1"/>
  <c r="L245" i="1"/>
  <c r="E245" i="1"/>
  <c r="D245" i="1"/>
  <c r="C245" i="1"/>
  <c r="B245" i="1"/>
  <c r="R244" i="1"/>
  <c r="Q244" i="1"/>
  <c r="P244" i="1"/>
  <c r="O244" i="1"/>
  <c r="N244" i="1"/>
  <c r="L244" i="1"/>
  <c r="E244" i="1"/>
  <c r="D244" i="1"/>
  <c r="C244" i="1"/>
  <c r="B244" i="1"/>
  <c r="R243" i="1"/>
  <c r="Q243" i="1"/>
  <c r="P243" i="1"/>
  <c r="O243" i="1"/>
  <c r="N243" i="1"/>
  <c r="L243" i="1"/>
  <c r="E243" i="1"/>
  <c r="D243" i="1"/>
  <c r="C243" i="1"/>
  <c r="B243" i="1"/>
  <c r="R242" i="1"/>
  <c r="Q242" i="1"/>
  <c r="P242" i="1"/>
  <c r="O242" i="1"/>
  <c r="N242" i="1"/>
  <c r="L242" i="1"/>
  <c r="E242" i="1"/>
  <c r="D242" i="1"/>
  <c r="C242" i="1"/>
  <c r="B242" i="1"/>
  <c r="R241" i="1"/>
  <c r="Q241" i="1"/>
  <c r="P241" i="1"/>
  <c r="O241" i="1"/>
  <c r="N241" i="1"/>
  <c r="L241" i="1"/>
  <c r="E241" i="1"/>
  <c r="D241" i="1"/>
  <c r="C241" i="1"/>
  <c r="B241" i="1"/>
  <c r="R240" i="1"/>
  <c r="Q240" i="1"/>
  <c r="P240" i="1"/>
  <c r="O240" i="1"/>
  <c r="N240" i="1"/>
  <c r="L240" i="1"/>
  <c r="E240" i="1"/>
  <c r="D240" i="1"/>
  <c r="C240" i="1"/>
  <c r="B240" i="1"/>
  <c r="R239" i="1"/>
  <c r="Q239" i="1"/>
  <c r="P239" i="1"/>
  <c r="O239" i="1"/>
  <c r="N239" i="1"/>
  <c r="L239" i="1"/>
  <c r="E239" i="1"/>
  <c r="D239" i="1"/>
  <c r="C239" i="1"/>
  <c r="B239" i="1"/>
  <c r="R238" i="1"/>
  <c r="Q238" i="1"/>
  <c r="P238" i="1"/>
  <c r="O238" i="1"/>
  <c r="N238" i="1"/>
  <c r="L238" i="1"/>
  <c r="E238" i="1"/>
  <c r="D238" i="1"/>
  <c r="C238" i="1"/>
  <c r="B238" i="1"/>
  <c r="R237" i="1"/>
  <c r="Q237" i="1"/>
  <c r="P237" i="1"/>
  <c r="O237" i="1"/>
  <c r="N237" i="1"/>
  <c r="L237" i="1"/>
  <c r="E237" i="1"/>
  <c r="D237" i="1"/>
  <c r="C237" i="1"/>
  <c r="B237" i="1"/>
  <c r="R236" i="1"/>
  <c r="Q236" i="1"/>
  <c r="P236" i="1"/>
  <c r="O236" i="1"/>
  <c r="N236" i="1"/>
  <c r="L236" i="1"/>
  <c r="E236" i="1"/>
  <c r="D236" i="1"/>
  <c r="C236" i="1"/>
  <c r="B236" i="1"/>
  <c r="R235" i="1"/>
  <c r="Q235" i="1"/>
  <c r="P235" i="1"/>
  <c r="O235" i="1"/>
  <c r="N235" i="1"/>
  <c r="L235" i="1"/>
  <c r="E235" i="1"/>
  <c r="D235" i="1"/>
  <c r="C235" i="1"/>
  <c r="B235" i="1"/>
  <c r="R234" i="1"/>
  <c r="Q234" i="1"/>
  <c r="P234" i="1"/>
  <c r="O234" i="1"/>
  <c r="N234" i="1"/>
  <c r="L234" i="1"/>
  <c r="E234" i="1"/>
  <c r="D234" i="1"/>
  <c r="C234" i="1"/>
  <c r="B234" i="1"/>
  <c r="R233" i="1"/>
  <c r="Q233" i="1"/>
  <c r="P233" i="1"/>
  <c r="O233" i="1"/>
  <c r="N233" i="1"/>
  <c r="L233" i="1"/>
  <c r="E233" i="1"/>
  <c r="D233" i="1"/>
  <c r="C233" i="1"/>
  <c r="B233" i="1"/>
  <c r="R232" i="1"/>
  <c r="Q232" i="1"/>
  <c r="P232" i="1"/>
  <c r="O232" i="1"/>
  <c r="N232" i="1"/>
  <c r="L232" i="1"/>
  <c r="E232" i="1"/>
  <c r="D232" i="1"/>
  <c r="C232" i="1"/>
  <c r="B232" i="1"/>
  <c r="R231" i="1"/>
  <c r="Q231" i="1"/>
  <c r="P231" i="1"/>
  <c r="O231" i="1"/>
  <c r="N231" i="1"/>
  <c r="L231" i="1"/>
  <c r="E231" i="1"/>
  <c r="D231" i="1"/>
  <c r="C231" i="1"/>
  <c r="B231" i="1"/>
  <c r="R230" i="1"/>
  <c r="Q230" i="1"/>
  <c r="P230" i="1"/>
  <c r="O230" i="1"/>
  <c r="N230" i="1"/>
  <c r="L230" i="1"/>
  <c r="E230" i="1"/>
  <c r="D230" i="1"/>
  <c r="C230" i="1"/>
  <c r="B230" i="1"/>
  <c r="R229" i="1"/>
  <c r="Q229" i="1"/>
  <c r="P229" i="1"/>
  <c r="O229" i="1"/>
  <c r="N229" i="1"/>
  <c r="L229" i="1"/>
  <c r="E229" i="1"/>
  <c r="D229" i="1"/>
  <c r="C229" i="1"/>
  <c r="B229" i="1"/>
  <c r="R228" i="1"/>
  <c r="Q228" i="1"/>
  <c r="P228" i="1"/>
  <c r="O228" i="1"/>
  <c r="N228" i="1"/>
  <c r="L228" i="1"/>
  <c r="E228" i="1"/>
  <c r="D228" i="1"/>
  <c r="C228" i="1"/>
  <c r="B228" i="1"/>
  <c r="R227" i="1"/>
  <c r="Q227" i="1"/>
  <c r="P227" i="1"/>
  <c r="O227" i="1"/>
  <c r="N227" i="1"/>
  <c r="L227" i="1"/>
  <c r="E227" i="1"/>
  <c r="D227" i="1"/>
  <c r="C227" i="1"/>
  <c r="B227" i="1"/>
  <c r="R226" i="1"/>
  <c r="Q226" i="1"/>
  <c r="P226" i="1"/>
  <c r="O226" i="1"/>
  <c r="N226" i="1"/>
  <c r="L226" i="1"/>
  <c r="E226" i="1"/>
  <c r="D226" i="1"/>
  <c r="C226" i="1"/>
  <c r="B226" i="1"/>
  <c r="R225" i="1"/>
  <c r="Q225" i="1"/>
  <c r="P225" i="1"/>
  <c r="O225" i="1"/>
  <c r="N225" i="1"/>
  <c r="L225" i="1"/>
  <c r="E225" i="1"/>
  <c r="D225" i="1"/>
  <c r="C225" i="1"/>
  <c r="B225" i="1"/>
  <c r="R173" i="1"/>
  <c r="Q173" i="1"/>
  <c r="P173" i="1"/>
  <c r="O173" i="1"/>
  <c r="N173" i="1"/>
  <c r="L173" i="1"/>
  <c r="E173" i="1"/>
  <c r="D173" i="1"/>
  <c r="C173" i="1"/>
  <c r="B173" i="1"/>
  <c r="R172" i="1"/>
  <c r="Q172" i="1"/>
  <c r="P172" i="1"/>
  <c r="O172" i="1"/>
  <c r="N172" i="1"/>
  <c r="L172" i="1"/>
  <c r="E172" i="1"/>
  <c r="D172" i="1"/>
  <c r="C172" i="1"/>
  <c r="B172" i="1"/>
  <c r="R171" i="1"/>
  <c r="Q171" i="1"/>
  <c r="P171" i="1"/>
  <c r="O171" i="1"/>
  <c r="N171" i="1"/>
  <c r="L171" i="1"/>
  <c r="E171" i="1"/>
  <c r="D171" i="1"/>
  <c r="C171" i="1"/>
  <c r="B171" i="1"/>
  <c r="R170" i="1"/>
  <c r="Q170" i="1"/>
  <c r="P170" i="1"/>
  <c r="O170" i="1"/>
  <c r="N170" i="1"/>
  <c r="L170" i="1"/>
  <c r="E170" i="1"/>
  <c r="D170" i="1"/>
  <c r="C170" i="1"/>
  <c r="B170" i="1"/>
  <c r="R169" i="1"/>
  <c r="Q169" i="1"/>
  <c r="P169" i="1"/>
  <c r="O169" i="1"/>
  <c r="N169" i="1"/>
  <c r="L169" i="1"/>
  <c r="E169" i="1"/>
  <c r="D169" i="1"/>
  <c r="C169" i="1"/>
  <c r="B169" i="1"/>
  <c r="R168" i="1"/>
  <c r="Q168" i="1"/>
  <c r="P168" i="1"/>
  <c r="O168" i="1"/>
  <c r="N168" i="1"/>
  <c r="L168" i="1"/>
  <c r="E168" i="1"/>
  <c r="D168" i="1"/>
  <c r="C168" i="1"/>
  <c r="B168" i="1"/>
  <c r="R167" i="1"/>
  <c r="Q167" i="1"/>
  <c r="P167" i="1"/>
  <c r="O167" i="1"/>
  <c r="N167" i="1"/>
  <c r="L167" i="1"/>
  <c r="E167" i="1"/>
  <c r="D167" i="1"/>
  <c r="C167" i="1"/>
  <c r="B167" i="1"/>
  <c r="R166" i="1"/>
  <c r="Q166" i="1"/>
  <c r="P166" i="1"/>
  <c r="O166" i="1"/>
  <c r="N166" i="1"/>
  <c r="L166" i="1"/>
  <c r="E166" i="1"/>
  <c r="D166" i="1"/>
  <c r="C166" i="1"/>
  <c r="B166" i="1"/>
  <c r="R165" i="1"/>
  <c r="Q165" i="1"/>
  <c r="P165" i="1"/>
  <c r="O165" i="1"/>
  <c r="N165" i="1"/>
  <c r="L165" i="1"/>
  <c r="E165" i="1"/>
  <c r="D165" i="1"/>
  <c r="C165" i="1"/>
  <c r="B165" i="1"/>
  <c r="R164" i="1"/>
  <c r="Q164" i="1"/>
  <c r="P164" i="1"/>
  <c r="O164" i="1"/>
  <c r="N164" i="1"/>
  <c r="L164" i="1"/>
  <c r="E164" i="1"/>
  <c r="D164" i="1"/>
  <c r="C164" i="1"/>
  <c r="B164" i="1"/>
  <c r="R163" i="1"/>
  <c r="Q163" i="1"/>
  <c r="P163" i="1"/>
  <c r="O163" i="1"/>
  <c r="N163" i="1"/>
  <c r="L163" i="1"/>
  <c r="E163" i="1"/>
  <c r="D163" i="1"/>
  <c r="C163" i="1"/>
  <c r="B163" i="1"/>
  <c r="R162" i="1"/>
  <c r="Q162" i="1"/>
  <c r="P162" i="1"/>
  <c r="O162" i="1"/>
  <c r="N162" i="1"/>
  <c r="L162" i="1"/>
  <c r="E162" i="1"/>
  <c r="D162" i="1"/>
  <c r="C162" i="1"/>
  <c r="B162" i="1"/>
  <c r="R161" i="1"/>
  <c r="Q161" i="1"/>
  <c r="P161" i="1"/>
  <c r="O161" i="1"/>
  <c r="N161" i="1"/>
  <c r="L161" i="1"/>
  <c r="E161" i="1"/>
  <c r="D161" i="1"/>
  <c r="C161" i="1"/>
  <c r="B161" i="1"/>
  <c r="R160" i="1"/>
  <c r="Q160" i="1"/>
  <c r="P160" i="1"/>
  <c r="O160" i="1"/>
  <c r="N160" i="1"/>
  <c r="L160" i="1"/>
  <c r="E160" i="1"/>
  <c r="D160" i="1"/>
  <c r="C160" i="1"/>
  <c r="B160" i="1"/>
  <c r="R159" i="1"/>
  <c r="Q159" i="1"/>
  <c r="P159" i="1"/>
  <c r="O159" i="1"/>
  <c r="N159" i="1"/>
  <c r="L159" i="1"/>
  <c r="E159" i="1"/>
  <c r="D159" i="1"/>
  <c r="C159" i="1"/>
  <c r="B159" i="1"/>
  <c r="R158" i="1"/>
  <c r="Q158" i="1"/>
  <c r="P158" i="1"/>
  <c r="O158" i="1"/>
  <c r="N158" i="1"/>
  <c r="L158" i="1"/>
  <c r="E158" i="1"/>
  <c r="D158" i="1"/>
  <c r="C158" i="1"/>
  <c r="B158" i="1"/>
  <c r="R157" i="1"/>
  <c r="Q157" i="1"/>
  <c r="P157" i="1"/>
  <c r="O157" i="1"/>
  <c r="N157" i="1"/>
  <c r="L157" i="1"/>
  <c r="E157" i="1"/>
  <c r="D157" i="1"/>
  <c r="C157" i="1"/>
  <c r="B157" i="1"/>
  <c r="R156" i="1"/>
  <c r="Q156" i="1"/>
  <c r="P156" i="1"/>
  <c r="O156" i="1"/>
  <c r="N156" i="1"/>
  <c r="L156" i="1"/>
  <c r="E156" i="1"/>
  <c r="D156" i="1"/>
  <c r="C156" i="1"/>
  <c r="B156" i="1"/>
  <c r="R155" i="1"/>
  <c r="Q155" i="1"/>
  <c r="P155" i="1"/>
  <c r="O155" i="1"/>
  <c r="N155" i="1"/>
  <c r="L155" i="1"/>
  <c r="E155" i="1"/>
  <c r="D155" i="1"/>
  <c r="C155" i="1"/>
  <c r="B155" i="1"/>
  <c r="R154" i="1"/>
  <c r="Q154" i="1"/>
  <c r="P154" i="1"/>
  <c r="O154" i="1"/>
  <c r="N154" i="1"/>
  <c r="L154" i="1"/>
  <c r="E154" i="1"/>
  <c r="D154" i="1"/>
  <c r="C154" i="1"/>
  <c r="B154" i="1"/>
  <c r="R153" i="1"/>
  <c r="Q153" i="1"/>
  <c r="P153" i="1"/>
  <c r="O153" i="1"/>
  <c r="N153" i="1"/>
  <c r="L153" i="1"/>
  <c r="E153" i="1"/>
  <c r="D153" i="1"/>
  <c r="C153" i="1"/>
  <c r="B153" i="1"/>
  <c r="R152" i="1"/>
  <c r="Q152" i="1"/>
  <c r="P152" i="1"/>
  <c r="O152" i="1"/>
  <c r="N152" i="1"/>
  <c r="L152" i="1"/>
  <c r="E152" i="1"/>
  <c r="D152" i="1"/>
  <c r="C152" i="1"/>
  <c r="B152" i="1"/>
  <c r="R151" i="1"/>
  <c r="Q151" i="1"/>
  <c r="P151" i="1"/>
  <c r="O151" i="1"/>
  <c r="N151" i="1"/>
  <c r="L151" i="1"/>
  <c r="E151" i="1"/>
  <c r="D151" i="1"/>
  <c r="C151" i="1"/>
  <c r="B151" i="1"/>
  <c r="R150" i="1"/>
  <c r="Q150" i="1"/>
  <c r="P150" i="1"/>
  <c r="O150" i="1"/>
  <c r="N150" i="1"/>
  <c r="L150" i="1"/>
  <c r="E150" i="1"/>
  <c r="D150" i="1"/>
  <c r="C150" i="1"/>
  <c r="B150" i="1"/>
  <c r="R149" i="1"/>
  <c r="Q149" i="1"/>
  <c r="P149" i="1"/>
  <c r="O149" i="1"/>
  <c r="N149" i="1"/>
  <c r="L149" i="1"/>
  <c r="E149" i="1"/>
  <c r="D149" i="1"/>
  <c r="C149" i="1"/>
  <c r="B149" i="1"/>
  <c r="R148" i="1"/>
  <c r="Q148" i="1"/>
  <c r="P148" i="1"/>
  <c r="O148" i="1"/>
  <c r="N148" i="1"/>
  <c r="L148" i="1"/>
  <c r="E148" i="1"/>
  <c r="D148" i="1"/>
  <c r="C148" i="1"/>
  <c r="B148" i="1"/>
  <c r="R147" i="1"/>
  <c r="Q147" i="1"/>
  <c r="P147" i="1"/>
  <c r="O147" i="1"/>
  <c r="N147" i="1"/>
  <c r="L147" i="1"/>
  <c r="E147" i="1"/>
  <c r="D147" i="1"/>
  <c r="C147" i="1"/>
  <c r="B147" i="1"/>
  <c r="R146" i="1"/>
  <c r="Q146" i="1"/>
  <c r="P146" i="1"/>
  <c r="O146" i="1"/>
  <c r="N146" i="1"/>
  <c r="L146" i="1"/>
  <c r="E146" i="1"/>
  <c r="D146" i="1"/>
  <c r="C146" i="1"/>
  <c r="B146" i="1"/>
  <c r="R145" i="1"/>
  <c r="Q145" i="1"/>
  <c r="P145" i="1"/>
  <c r="O145" i="1"/>
  <c r="N145" i="1"/>
  <c r="L145" i="1"/>
  <c r="E145" i="1"/>
  <c r="D145" i="1"/>
  <c r="C145" i="1"/>
  <c r="B145" i="1"/>
  <c r="R144" i="1"/>
  <c r="Q144" i="1"/>
  <c r="P144" i="1"/>
  <c r="O144" i="1"/>
  <c r="N144" i="1"/>
  <c r="L144" i="1"/>
  <c r="E144" i="1"/>
  <c r="D144" i="1"/>
  <c r="C144" i="1"/>
  <c r="B144" i="1"/>
  <c r="R138" i="1"/>
  <c r="Q138" i="1"/>
  <c r="P138" i="1"/>
  <c r="O138" i="1"/>
  <c r="N138" i="1"/>
  <c r="M138" i="1"/>
  <c r="L138" i="1"/>
  <c r="K138" i="1"/>
  <c r="J138" i="1"/>
  <c r="I138" i="1"/>
  <c r="G138" i="1"/>
  <c r="F138" i="1"/>
  <c r="R137" i="1"/>
  <c r="Q137" i="1"/>
  <c r="P137" i="1"/>
  <c r="O137" i="1"/>
  <c r="N137" i="1"/>
  <c r="M137" i="1"/>
  <c r="L137" i="1"/>
  <c r="K137" i="1"/>
  <c r="J137" i="1"/>
  <c r="I137" i="1"/>
  <c r="G137" i="1"/>
  <c r="F137" i="1"/>
  <c r="R136" i="1"/>
  <c r="Q136" i="1"/>
  <c r="P136" i="1"/>
  <c r="O136" i="1"/>
  <c r="N136" i="1"/>
  <c r="M136" i="1"/>
  <c r="L136" i="1"/>
  <c r="K136" i="1"/>
  <c r="J136" i="1"/>
  <c r="I136" i="1"/>
  <c r="G136" i="1"/>
  <c r="F136" i="1"/>
  <c r="R135" i="1"/>
  <c r="Q135" i="1"/>
  <c r="P135" i="1"/>
  <c r="O135" i="1"/>
  <c r="N135" i="1"/>
  <c r="M135" i="1"/>
  <c r="L135" i="1"/>
  <c r="K135" i="1"/>
  <c r="J135" i="1"/>
  <c r="I135" i="1"/>
  <c r="G135" i="1"/>
  <c r="F135" i="1"/>
  <c r="R134" i="1"/>
  <c r="Q134" i="1"/>
  <c r="P134" i="1"/>
  <c r="O134" i="1"/>
  <c r="N134" i="1"/>
  <c r="M134" i="1"/>
  <c r="H9" i="17" s="1"/>
  <c r="L134" i="1"/>
  <c r="K134" i="1"/>
  <c r="J134" i="1"/>
  <c r="I134" i="1"/>
  <c r="G134" i="1"/>
  <c r="F134" i="1"/>
  <c r="H7" i="17" s="1"/>
  <c r="R133" i="1"/>
  <c r="Q133" i="1"/>
  <c r="P133" i="1"/>
  <c r="O133" i="1"/>
  <c r="N133" i="1"/>
  <c r="M133" i="1"/>
  <c r="L133" i="1"/>
  <c r="K133" i="1"/>
  <c r="J133" i="1"/>
  <c r="I133" i="1"/>
  <c r="G133" i="1"/>
  <c r="F133" i="1"/>
  <c r="H132" i="1"/>
  <c r="H131" i="1"/>
  <c r="H130" i="1"/>
  <c r="H185" i="1" s="1"/>
  <c r="H129" i="1"/>
  <c r="H214" i="1" s="1"/>
  <c r="H128" i="1"/>
  <c r="H184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213" i="1" s="1"/>
  <c r="H115" i="1"/>
  <c r="H212" i="1" s="1"/>
  <c r="H114" i="1"/>
  <c r="H113" i="1"/>
  <c r="H112" i="1"/>
  <c r="H111" i="1"/>
  <c r="H110" i="1"/>
  <c r="H109" i="1"/>
  <c r="H108" i="1"/>
  <c r="H107" i="1"/>
  <c r="H106" i="1"/>
  <c r="H105" i="1"/>
  <c r="H211" i="1" s="1"/>
  <c r="H104" i="1"/>
  <c r="H183" i="1" s="1"/>
  <c r="H103" i="1"/>
  <c r="H182" i="1" s="1"/>
  <c r="H102" i="1"/>
  <c r="H101" i="1"/>
  <c r="H210" i="1" s="1"/>
  <c r="H100" i="1"/>
  <c r="H99" i="1"/>
  <c r="H98" i="1"/>
  <c r="H181" i="1" s="1"/>
  <c r="H97" i="1"/>
  <c r="H209" i="1" s="1"/>
  <c r="H96" i="1"/>
  <c r="H95" i="1"/>
  <c r="H94" i="1"/>
  <c r="H93" i="1"/>
  <c r="H92" i="1"/>
  <c r="H91" i="1"/>
  <c r="H90" i="1"/>
  <c r="H89" i="1"/>
  <c r="H180" i="1" s="1"/>
  <c r="H88" i="1"/>
  <c r="H87" i="1"/>
  <c r="H86" i="1"/>
  <c r="H85" i="1"/>
  <c r="H208" i="1" s="1"/>
  <c r="H84" i="1"/>
  <c r="H207" i="1" s="1"/>
  <c r="H83" i="1"/>
  <c r="H82" i="1"/>
  <c r="H81" i="1"/>
  <c r="H80" i="1"/>
  <c r="H79" i="1"/>
  <c r="H78" i="1"/>
  <c r="H206" i="1" s="1"/>
  <c r="H77" i="1"/>
  <c r="H179" i="1" s="1"/>
  <c r="H76" i="1"/>
  <c r="H75" i="1"/>
  <c r="H74" i="1"/>
  <c r="H73" i="1"/>
  <c r="H72" i="1"/>
  <c r="H205" i="1" s="1"/>
  <c r="H71" i="1"/>
  <c r="H70" i="1"/>
  <c r="H69" i="1"/>
  <c r="H178" i="1" s="1"/>
  <c r="H68" i="1"/>
  <c r="H67" i="1"/>
  <c r="H204" i="1" s="1"/>
  <c r="H66" i="1"/>
  <c r="H65" i="1"/>
  <c r="H177" i="1" s="1"/>
  <c r="H64" i="1"/>
  <c r="H203" i="1" s="1"/>
  <c r="H63" i="1"/>
  <c r="H62" i="1"/>
  <c r="H61" i="1"/>
  <c r="H60" i="1"/>
  <c r="H59" i="1"/>
  <c r="H58" i="1"/>
  <c r="H57" i="1"/>
  <c r="H56" i="1"/>
  <c r="H176" i="1" s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202" i="1" s="1"/>
  <c r="H41" i="1"/>
  <c r="H40" i="1"/>
  <c r="H39" i="1"/>
  <c r="H38" i="1"/>
  <c r="H37" i="1"/>
  <c r="H36" i="1"/>
  <c r="H35" i="1"/>
  <c r="H201" i="1" s="1"/>
  <c r="H34" i="1"/>
  <c r="H33" i="1"/>
  <c r="H200" i="1" s="1"/>
  <c r="H32" i="1"/>
  <c r="H175" i="1" s="1"/>
  <c r="H31" i="1"/>
  <c r="H30" i="1"/>
  <c r="H174" i="1" s="1"/>
  <c r="H29" i="1"/>
  <c r="H28" i="1"/>
  <c r="H27" i="1"/>
  <c r="H26" i="1"/>
  <c r="H25" i="1"/>
  <c r="H24" i="1"/>
  <c r="H23" i="1"/>
  <c r="H199" i="1" s="1"/>
  <c r="H22" i="1"/>
  <c r="H21" i="1"/>
  <c r="H20" i="1"/>
  <c r="H19" i="1"/>
  <c r="H18" i="1"/>
  <c r="H17" i="1"/>
  <c r="H198" i="1" s="1"/>
  <c r="H16" i="1"/>
  <c r="H15" i="1"/>
  <c r="H14" i="1"/>
  <c r="H13" i="1"/>
  <c r="H12" i="1"/>
  <c r="H197" i="1" s="1"/>
  <c r="H11" i="1"/>
  <c r="H10" i="1"/>
  <c r="H9" i="1"/>
  <c r="H8" i="1"/>
  <c r="H7" i="1"/>
  <c r="H196" i="1" s="1"/>
  <c r="H6" i="1"/>
  <c r="H5" i="1"/>
  <c r="M20" i="25"/>
  <c r="K29" i="25"/>
  <c r="L25" i="25"/>
  <c r="K28" i="25"/>
  <c r="M5" i="25"/>
  <c r="M21" i="25"/>
  <c r="K26" i="25"/>
  <c r="M7" i="25"/>
  <c r="L30" i="25"/>
  <c r="K25" i="25"/>
  <c r="L30" i="18"/>
  <c r="AC30" i="18" s="1"/>
  <c r="I30" i="18"/>
  <c r="AA30" i="18" s="1"/>
  <c r="K30" i="18"/>
  <c r="K7" i="18"/>
  <c r="AS219" i="18"/>
  <c r="I27" i="25"/>
  <c r="I25" i="25"/>
  <c r="I26" i="25"/>
  <c r="I28" i="25"/>
  <c r="I29" i="25"/>
  <c r="I30" i="25"/>
  <c r="H27" i="25"/>
  <c r="H29" i="25"/>
  <c r="H30" i="25"/>
  <c r="H26" i="25"/>
  <c r="H25" i="25"/>
  <c r="H28" i="25"/>
  <c r="N38" i="18" l="1"/>
  <c r="M56" i="18"/>
  <c r="L105" i="18"/>
  <c r="AC105" i="18" s="1"/>
  <c r="M39" i="18"/>
  <c r="N70" i="18"/>
  <c r="M14" i="18"/>
  <c r="N24" i="18"/>
  <c r="M20" i="18"/>
  <c r="M49" i="18"/>
  <c r="Q49" i="18" s="1"/>
  <c r="M18" i="18"/>
  <c r="Q18" i="18" s="1"/>
  <c r="M91" i="18"/>
  <c r="L79" i="22"/>
  <c r="L78" i="23" s="1"/>
  <c r="L97" i="22"/>
  <c r="L96" i="23" s="1"/>
  <c r="L55" i="22"/>
  <c r="L54" i="23" s="1"/>
  <c r="AJ120" i="22"/>
  <c r="S223" i="18"/>
  <c r="AS223" i="18"/>
  <c r="S219" i="18"/>
  <c r="M25" i="25"/>
  <c r="M26" i="25"/>
  <c r="N7" i="18"/>
  <c r="L22" i="18"/>
  <c r="AC22" i="18" s="1"/>
  <c r="N59" i="18"/>
  <c r="L73" i="18"/>
  <c r="AC73" i="18" s="1"/>
  <c r="M84" i="18"/>
  <c r="M46" i="18"/>
  <c r="N123" i="18"/>
  <c r="L24" i="18"/>
  <c r="AC24" i="18" s="1"/>
  <c r="N34" i="18"/>
  <c r="R34" i="18" s="1"/>
  <c r="N40" i="18"/>
  <c r="N15" i="18"/>
  <c r="R15" i="18" s="1"/>
  <c r="L77" i="18"/>
  <c r="AC77" i="18" s="1"/>
  <c r="M74" i="18"/>
  <c r="H34" i="23"/>
  <c r="U34" i="23" s="1"/>
  <c r="L91" i="18"/>
  <c r="AC91" i="18" s="1"/>
  <c r="H59" i="23"/>
  <c r="N84" i="18"/>
  <c r="N46" i="18"/>
  <c r="N48" i="18"/>
  <c r="R48" i="18" s="1"/>
  <c r="L87" i="18"/>
  <c r="AC87" i="18" s="1"/>
  <c r="L49" i="18"/>
  <c r="AC49" i="18" s="1"/>
  <c r="N76" i="18"/>
  <c r="M24" i="18"/>
  <c r="E138" i="24"/>
  <c r="E143" i="24" s="1"/>
  <c r="J138" i="24"/>
  <c r="J143" i="24" s="1"/>
  <c r="N138" i="24"/>
  <c r="N143" i="24" s="1"/>
  <c r="U138" i="24"/>
  <c r="U143" i="24" s="1"/>
  <c r="T138" i="24"/>
  <c r="T143" i="24" s="1"/>
  <c r="Q138" i="24"/>
  <c r="Q143" i="24" s="1"/>
  <c r="M138" i="24"/>
  <c r="M143" i="24" s="1"/>
  <c r="K138" i="24"/>
  <c r="K143" i="24" s="1"/>
  <c r="J140" i="24"/>
  <c r="I138" i="24"/>
  <c r="I143" i="24" s="1"/>
  <c r="H138" i="24"/>
  <c r="H143" i="24" s="1"/>
  <c r="F138" i="24"/>
  <c r="F143" i="24" s="1"/>
  <c r="F140" i="24"/>
  <c r="P138" i="24"/>
  <c r="P143" i="24" s="1"/>
  <c r="S138" i="24"/>
  <c r="S143" i="24" s="1"/>
  <c r="N140" i="24"/>
  <c r="H140" i="24"/>
  <c r="L138" i="24"/>
  <c r="L143" i="24" s="1"/>
  <c r="O138" i="24"/>
  <c r="O143" i="24" s="1"/>
  <c r="T140" i="24"/>
  <c r="G138" i="24"/>
  <c r="G143" i="24" s="1"/>
  <c r="R140" i="24"/>
  <c r="H216" i="1"/>
  <c r="H302" i="1" s="1"/>
  <c r="H306" i="1" s="1"/>
  <c r="AC97" i="23"/>
  <c r="K137" i="23"/>
  <c r="V140" i="23"/>
  <c r="R137" i="23"/>
  <c r="AM78" i="23"/>
  <c r="AQ75" i="23" s="1"/>
  <c r="AT95" i="23" s="1"/>
  <c r="AD64" i="23"/>
  <c r="AJ61" i="23"/>
  <c r="AM59" i="23"/>
  <c r="AT101" i="23" s="1"/>
  <c r="AD55" i="23"/>
  <c r="H567" i="1"/>
  <c r="H331" i="1" s="1"/>
  <c r="AK91" i="23"/>
  <c r="AR89" i="23"/>
  <c r="AU95" i="23"/>
  <c r="AR66" i="23"/>
  <c r="AU97" i="23"/>
  <c r="AK68" i="23"/>
  <c r="AM61" i="23"/>
  <c r="AQ54" i="23" s="1"/>
  <c r="O138" i="23"/>
  <c r="AM63" i="23"/>
  <c r="AT97" i="23" s="1"/>
  <c r="AD63" i="23"/>
  <c r="AM55" i="23"/>
  <c r="AQ53" i="23" s="1"/>
  <c r="AM60" i="23"/>
  <c r="AT102" i="23" s="1"/>
  <c r="AM84" i="23"/>
  <c r="AQ76" i="23" s="1"/>
  <c r="AT96" i="23" s="1"/>
  <c r="AJ64" i="23"/>
  <c r="AD61" i="23"/>
  <c r="AG61" i="23"/>
  <c r="AM64" i="23"/>
  <c r="AQ55" i="23" s="1"/>
  <c r="G137" i="23"/>
  <c r="AD59" i="23"/>
  <c r="AJ84" i="23"/>
  <c r="AD78" i="23"/>
  <c r="AK24" i="23"/>
  <c r="AR21" i="23"/>
  <c r="AK46" i="23"/>
  <c r="AR45" i="23"/>
  <c r="G29" i="22"/>
  <c r="H534" i="1"/>
  <c r="H329" i="1" s="1"/>
  <c r="F302" i="1"/>
  <c r="F306" i="1" s="1"/>
  <c r="L102" i="18"/>
  <c r="AC102" i="18" s="1"/>
  <c r="N100" i="18"/>
  <c r="M124" i="18"/>
  <c r="M50" i="18"/>
  <c r="Q50" i="18" s="1"/>
  <c r="M59" i="18"/>
  <c r="Q59" i="18" s="1"/>
  <c r="M90" i="18"/>
  <c r="L99" i="18"/>
  <c r="AC99" i="18" s="1"/>
  <c r="N25" i="18"/>
  <c r="L90" i="18"/>
  <c r="AC90" i="18" s="1"/>
  <c r="N47" i="18"/>
  <c r="R47" i="18" s="1"/>
  <c r="L86" i="18"/>
  <c r="AC86" i="18" s="1"/>
  <c r="N43" i="18"/>
  <c r="R43" i="18" s="1"/>
  <c r="M92" i="18"/>
  <c r="M71" i="18"/>
  <c r="N128" i="18"/>
  <c r="R128" i="18" s="1"/>
  <c r="M122" i="18"/>
  <c r="L11" i="18"/>
  <c r="AC11" i="18" s="1"/>
  <c r="M88" i="18"/>
  <c r="M21" i="18"/>
  <c r="Q21" i="18" s="1"/>
  <c r="N124" i="18"/>
  <c r="AM130" i="18"/>
  <c r="AQ130" i="18" s="1"/>
  <c r="N92" i="18"/>
  <c r="M42" i="18"/>
  <c r="N103" i="18"/>
  <c r="N109" i="18"/>
  <c r="L125" i="18"/>
  <c r="AC125" i="18" s="1"/>
  <c r="N94" i="18"/>
  <c r="R94" i="18" s="1"/>
  <c r="L127" i="18"/>
  <c r="AC127" i="18" s="1"/>
  <c r="M36" i="18"/>
  <c r="M17" i="18"/>
  <c r="Q17" i="18" s="1"/>
  <c r="N105" i="18"/>
  <c r="R105" i="18" s="1"/>
  <c r="M34" i="18"/>
  <c r="M15" i="18"/>
  <c r="N107" i="18"/>
  <c r="L131" i="18"/>
  <c r="AC131" i="18" s="1"/>
  <c r="M61" i="18"/>
  <c r="F28" i="18"/>
  <c r="Y28" i="18" s="1"/>
  <c r="F38" i="18"/>
  <c r="Y38" i="18" s="1"/>
  <c r="H8" i="18"/>
  <c r="F96" i="18"/>
  <c r="Y96" i="18" s="1"/>
  <c r="H87" i="18"/>
  <c r="G81" i="18"/>
  <c r="H98" i="18"/>
  <c r="R98" i="18" s="1"/>
  <c r="H106" i="18"/>
  <c r="H126" i="18"/>
  <c r="L95" i="22"/>
  <c r="L94" i="23" s="1"/>
  <c r="L35" i="22"/>
  <c r="L34" i="23" s="1"/>
  <c r="H64" i="18"/>
  <c r="F69" i="18"/>
  <c r="Y69" i="18" s="1"/>
  <c r="G102" i="18"/>
  <c r="H22" i="18"/>
  <c r="H81" i="18"/>
  <c r="F56" i="18"/>
  <c r="L36" i="22"/>
  <c r="L35" i="23" s="1"/>
  <c r="F117" i="18"/>
  <c r="Y117" i="18" s="1"/>
  <c r="H131" i="18"/>
  <c r="R131" i="18" s="1"/>
  <c r="F19" i="18"/>
  <c r="Y19" i="18" s="1"/>
  <c r="H49" i="18"/>
  <c r="G58" i="18"/>
  <c r="G71" i="18"/>
  <c r="G91" i="18"/>
  <c r="Q91" i="18" s="1"/>
  <c r="H127" i="18"/>
  <c r="F92" i="18"/>
  <c r="Y92" i="18" s="1"/>
  <c r="L17" i="22"/>
  <c r="L16" i="23" s="1"/>
  <c r="M100" i="18"/>
  <c r="Q100" i="18" s="1"/>
  <c r="AN118" i="18"/>
  <c r="AN114" i="18"/>
  <c r="N62" i="18"/>
  <c r="N78" i="18"/>
  <c r="R78" i="18" s="1"/>
  <c r="M87" i="18"/>
  <c r="M107" i="18"/>
  <c r="N116" i="18"/>
  <c r="N111" i="18"/>
  <c r="N68" i="18"/>
  <c r="R68" i="18" s="1"/>
  <c r="M38" i="18"/>
  <c r="N64" i="18"/>
  <c r="R64" i="18" s="1"/>
  <c r="N80" i="18"/>
  <c r="M54" i="18"/>
  <c r="M5" i="18"/>
  <c r="M119" i="18"/>
  <c r="M109" i="18"/>
  <c r="Q109" i="18" s="1"/>
  <c r="AN11" i="18"/>
  <c r="AR11" i="18" s="1"/>
  <c r="AN18" i="18"/>
  <c r="AN86" i="18"/>
  <c r="L27" i="18"/>
  <c r="AC27" i="18" s="1"/>
  <c r="L64" i="18"/>
  <c r="AC64" i="18" s="1"/>
  <c r="N87" i="18"/>
  <c r="M108" i="18"/>
  <c r="L46" i="18"/>
  <c r="AC46" i="18" s="1"/>
  <c r="M68" i="18"/>
  <c r="N121" i="18"/>
  <c r="R121" i="18" s="1"/>
  <c r="AN113" i="18"/>
  <c r="AM73" i="18"/>
  <c r="AM69" i="18"/>
  <c r="L15" i="18"/>
  <c r="AC15" i="18" s="1"/>
  <c r="N22" i="18"/>
  <c r="R22" i="18" s="1"/>
  <c r="L122" i="18"/>
  <c r="AC122" i="18" s="1"/>
  <c r="M102" i="18"/>
  <c r="L128" i="18"/>
  <c r="AC128" i="18" s="1"/>
  <c r="L33" i="18"/>
  <c r="AC33" i="18" s="1"/>
  <c r="AM41" i="18"/>
  <c r="L5" i="18"/>
  <c r="AC5" i="18" s="1"/>
  <c r="L62" i="18"/>
  <c r="AC62" i="18" s="1"/>
  <c r="M11" i="18"/>
  <c r="AL130" i="18"/>
  <c r="AP130" i="18" s="1"/>
  <c r="AM114" i="18"/>
  <c r="AN104" i="18"/>
  <c r="AM86" i="18"/>
  <c r="AM13" i="18"/>
  <c r="AN132" i="18"/>
  <c r="AM121" i="18"/>
  <c r="AM99" i="18"/>
  <c r="AQ99" i="18" s="1"/>
  <c r="AM96" i="18"/>
  <c r="AN79" i="18"/>
  <c r="AM78" i="18"/>
  <c r="AM77" i="18"/>
  <c r="AN51" i="18"/>
  <c r="AM117" i="18"/>
  <c r="AN115" i="18"/>
  <c r="AL97" i="18"/>
  <c r="AN82" i="18"/>
  <c r="AR82" i="18" s="1"/>
  <c r="AM79" i="18"/>
  <c r="AL78" i="18"/>
  <c r="AN45" i="18"/>
  <c r="AM44" i="18"/>
  <c r="AM10" i="18"/>
  <c r="AM115" i="18"/>
  <c r="AM101" i="18"/>
  <c r="AN99" i="18"/>
  <c r="AN96" i="18"/>
  <c r="AL89" i="18"/>
  <c r="AP89" i="18" s="1"/>
  <c r="AN77" i="18"/>
  <c r="AN130" i="18"/>
  <c r="AR130" i="18" s="1"/>
  <c r="AM118" i="18"/>
  <c r="AQ118" i="18" s="1"/>
  <c r="AL114" i="18"/>
  <c r="AL58" i="18"/>
  <c r="AM28" i="18"/>
  <c r="AQ28" i="18" s="1"/>
  <c r="AN14" i="18"/>
  <c r="I39" i="17"/>
  <c r="AN131" i="18"/>
  <c r="AM127" i="18"/>
  <c r="AM126" i="18"/>
  <c r="AN110" i="18"/>
  <c r="AN106" i="18"/>
  <c r="AN89" i="18"/>
  <c r="AN85" i="18"/>
  <c r="AM32" i="18"/>
  <c r="AQ32" i="18" s="1"/>
  <c r="AL29" i="18"/>
  <c r="AM26" i="18"/>
  <c r="AQ26" i="18" s="1"/>
  <c r="AN20" i="18"/>
  <c r="AR20" i="18" s="1"/>
  <c r="AL13" i="18"/>
  <c r="AL10" i="18"/>
  <c r="AM8" i="18"/>
  <c r="AN6" i="18"/>
  <c r="AN117" i="18"/>
  <c r="AL115" i="18"/>
  <c r="AN41" i="18"/>
  <c r="AM40" i="18"/>
  <c r="AM37" i="18"/>
  <c r="AQ37" i="18" s="1"/>
  <c r="AN12" i="18"/>
  <c r="AR12" i="18" s="1"/>
  <c r="AN72" i="18"/>
  <c r="AL71" i="18"/>
  <c r="AN54" i="18"/>
  <c r="AM48" i="18"/>
  <c r="AQ48" i="18" s="1"/>
  <c r="AL47" i="18"/>
  <c r="AN127" i="18"/>
  <c r="AN126" i="18"/>
  <c r="AR126" i="18" s="1"/>
  <c r="AM95" i="18"/>
  <c r="AM72" i="18"/>
  <c r="AQ72" i="18" s="1"/>
  <c r="AM67" i="18"/>
  <c r="AM52" i="18"/>
  <c r="AN32" i="18"/>
  <c r="AM31" i="18"/>
  <c r="AN26" i="18"/>
  <c r="AM23" i="18"/>
  <c r="L34" i="18"/>
  <c r="AC34" i="18" s="1"/>
  <c r="L39" i="18"/>
  <c r="AC39" i="18" s="1"/>
  <c r="L108" i="18"/>
  <c r="AC108" i="18" s="1"/>
  <c r="AL98" i="18"/>
  <c r="AP98" i="18" s="1"/>
  <c r="L23" i="18"/>
  <c r="AC23" i="18" s="1"/>
  <c r="L53" i="18"/>
  <c r="AC53" i="18" s="1"/>
  <c r="L74" i="18"/>
  <c r="AC74" i="18" s="1"/>
  <c r="AL82" i="18"/>
  <c r="AP82" i="18" s="1"/>
  <c r="AL72" i="18"/>
  <c r="AP72" i="18" s="1"/>
  <c r="L7" i="18"/>
  <c r="AC7" i="18" s="1"/>
  <c r="L55" i="18"/>
  <c r="AC55" i="18" s="1"/>
  <c r="L84" i="18"/>
  <c r="AC84" i="18" s="1"/>
  <c r="L92" i="18"/>
  <c r="AC92" i="18" s="1"/>
  <c r="L107" i="18"/>
  <c r="AC107" i="18" s="1"/>
  <c r="AL123" i="18"/>
  <c r="AP123" i="18" s="1"/>
  <c r="AL83" i="18"/>
  <c r="AL41" i="18"/>
  <c r="AL70" i="18"/>
  <c r="G89" i="22"/>
  <c r="AL106" i="18"/>
  <c r="AL93" i="18"/>
  <c r="G49" i="22"/>
  <c r="AL113" i="18"/>
  <c r="AP113" i="18" s="1"/>
  <c r="AL75" i="18"/>
  <c r="AL19" i="18"/>
  <c r="AP19" i="18" s="1"/>
  <c r="AL12" i="18"/>
  <c r="AP12" i="18" s="1"/>
  <c r="AL68" i="18"/>
  <c r="AL59" i="18"/>
  <c r="AL31" i="18"/>
  <c r="AL120" i="18"/>
  <c r="AL60" i="18"/>
  <c r="AL57" i="18"/>
  <c r="AL45" i="18"/>
  <c r="AL17" i="18"/>
  <c r="AL14" i="18"/>
  <c r="AP14" i="18" s="1"/>
  <c r="AJ107" i="22"/>
  <c r="AJ8" i="22"/>
  <c r="AJ14" i="22"/>
  <c r="I98" i="18"/>
  <c r="AA98" i="18" s="1"/>
  <c r="K99" i="18"/>
  <c r="AJ104" i="18"/>
  <c r="AI103" i="18"/>
  <c r="I105" i="18"/>
  <c r="AA105" i="18" s="1"/>
  <c r="AK118" i="18"/>
  <c r="I130" i="18"/>
  <c r="AA130" i="18" s="1"/>
  <c r="AK32" i="18"/>
  <c r="I48" i="17"/>
  <c r="I5" i="18"/>
  <c r="AA5" i="18" s="1"/>
  <c r="K31" i="18"/>
  <c r="K45" i="18"/>
  <c r="R45" i="18" s="1"/>
  <c r="J56" i="18"/>
  <c r="J89" i="18"/>
  <c r="I96" i="18"/>
  <c r="AA96" i="18" s="1"/>
  <c r="AJ128" i="18"/>
  <c r="AK127" i="18"/>
  <c r="AI117" i="18"/>
  <c r="AP117" i="18" s="1"/>
  <c r="AK44" i="18"/>
  <c r="AJ8" i="18"/>
  <c r="I8" i="18"/>
  <c r="AA8" i="18" s="1"/>
  <c r="I12" i="18"/>
  <c r="AA12" i="18" s="1"/>
  <c r="K37" i="18"/>
  <c r="I83" i="18"/>
  <c r="AA83" i="18" s="1"/>
  <c r="J108" i="18"/>
  <c r="K109" i="18"/>
  <c r="K116" i="18"/>
  <c r="I126" i="18"/>
  <c r="AA126" i="18" s="1"/>
  <c r="AK88" i="18"/>
  <c r="AR88" i="18" s="1"/>
  <c r="AI80" i="18"/>
  <c r="I20" i="18"/>
  <c r="AA20" i="18" s="1"/>
  <c r="J28" i="18"/>
  <c r="I49" i="18"/>
  <c r="AA49" i="18" s="1"/>
  <c r="I63" i="18"/>
  <c r="AA63" i="18" s="1"/>
  <c r="I115" i="18"/>
  <c r="AA115" i="18" s="1"/>
  <c r="AJ87" i="18"/>
  <c r="AQ87" i="18" s="1"/>
  <c r="AK86" i="18"/>
  <c r="P74" i="22"/>
  <c r="K66" i="18"/>
  <c r="R66" i="18" s="1"/>
  <c r="K117" i="18"/>
  <c r="R117" i="18" s="1"/>
  <c r="AA135" i="20"/>
  <c r="AK114" i="18"/>
  <c r="AJ110" i="18"/>
  <c r="AK77" i="18"/>
  <c r="AK73" i="18"/>
  <c r="AR73" i="18" s="1"/>
  <c r="AJ34" i="18"/>
  <c r="AK122" i="18"/>
  <c r="AJ79" i="18"/>
  <c r="AJ78" i="18"/>
  <c r="AI76" i="18"/>
  <c r="AJ61" i="18"/>
  <c r="AQ61" i="18" s="1"/>
  <c r="AJ129" i="18"/>
  <c r="AK97" i="18"/>
  <c r="AJ52" i="18"/>
  <c r="AJ6" i="18"/>
  <c r="AQ6" i="18" s="1"/>
  <c r="AJ127" i="22"/>
  <c r="AJ109" i="22"/>
  <c r="AI59" i="18"/>
  <c r="AI41" i="18"/>
  <c r="AJ33" i="18"/>
  <c r="K92" i="18"/>
  <c r="AJ131" i="18"/>
  <c r="AI129" i="18"/>
  <c r="AK124" i="18"/>
  <c r="AR124" i="18" s="1"/>
  <c r="AI78" i="18"/>
  <c r="AI62" i="18"/>
  <c r="AP62" i="18" s="1"/>
  <c r="AI47" i="18"/>
  <c r="AI33" i="18"/>
  <c r="AP33" i="18" s="1"/>
  <c r="AJ23" i="18"/>
  <c r="AI22" i="18"/>
  <c r="AP22" i="18" s="1"/>
  <c r="AJ9" i="18"/>
  <c r="S100" i="22"/>
  <c r="I116" i="18"/>
  <c r="AA116" i="18" s="1"/>
  <c r="K119" i="18"/>
  <c r="AJ119" i="18"/>
  <c r="AQ119" i="18" s="1"/>
  <c r="AJ113" i="18"/>
  <c r="AK110" i="18"/>
  <c r="AI106" i="18"/>
  <c r="AK80" i="18"/>
  <c r="AR80" i="18" s="1"/>
  <c r="AI56" i="18"/>
  <c r="AK52" i="18"/>
  <c r="AI42" i="18"/>
  <c r="AI16" i="18"/>
  <c r="AJ12" i="22"/>
  <c r="J118" i="18"/>
  <c r="Q118" i="18" s="1"/>
  <c r="I65" i="18"/>
  <c r="AA65" i="18" s="1"/>
  <c r="AJ128" i="22"/>
  <c r="AJ110" i="22"/>
  <c r="J99" i="18"/>
  <c r="S12" i="22"/>
  <c r="AJ121" i="18"/>
  <c r="AK115" i="18"/>
  <c r="AK112" i="18"/>
  <c r="AA139" i="20"/>
  <c r="AB138" i="20"/>
  <c r="AB137" i="20"/>
  <c r="AB139" i="20"/>
  <c r="Z138" i="20"/>
  <c r="AJ17" i="22"/>
  <c r="AQ109" i="18"/>
  <c r="AK79" i="18"/>
  <c r="AI77" i="18"/>
  <c r="AP77" i="18" s="1"/>
  <c r="AJ71" i="18"/>
  <c r="AQ71" i="18" s="1"/>
  <c r="AK67" i="18"/>
  <c r="AJ66" i="18"/>
  <c r="AJ62" i="18"/>
  <c r="AI60" i="18"/>
  <c r="AK57" i="18"/>
  <c r="AI53" i="18"/>
  <c r="AP53" i="18" s="1"/>
  <c r="AK48" i="18"/>
  <c r="AK23" i="18"/>
  <c r="AJ16" i="18"/>
  <c r="AJ33" i="22"/>
  <c r="AJ111" i="18"/>
  <c r="AK106" i="18"/>
  <c r="AJ93" i="18"/>
  <c r="AI86" i="18"/>
  <c r="AP86" i="18" s="1"/>
  <c r="AI85" i="18"/>
  <c r="AP85" i="18" s="1"/>
  <c r="AJ40" i="18"/>
  <c r="AI39" i="18"/>
  <c r="AK33" i="18"/>
  <c r="AJ127" i="18"/>
  <c r="AI125" i="18"/>
  <c r="AJ115" i="22"/>
  <c r="AK129" i="18"/>
  <c r="AK121" i="18"/>
  <c r="AI114" i="18"/>
  <c r="AI111" i="18"/>
  <c r="AI109" i="18"/>
  <c r="AP109" i="18" s="1"/>
  <c r="AI93" i="18"/>
  <c r="AI92" i="18"/>
  <c r="AP92" i="18" s="1"/>
  <c r="AJ91" i="18"/>
  <c r="AQ91" i="18" s="1"/>
  <c r="AK10" i="18"/>
  <c r="P120" i="22"/>
  <c r="P114" i="22"/>
  <c r="AK131" i="18"/>
  <c r="AK128" i="18"/>
  <c r="AI127" i="18"/>
  <c r="AI119" i="18"/>
  <c r="AJ117" i="18"/>
  <c r="AJ115" i="18"/>
  <c r="AI112" i="18"/>
  <c r="AJ100" i="18"/>
  <c r="AJ83" i="18"/>
  <c r="AQ83" i="18" s="1"/>
  <c r="AI79" i="18"/>
  <c r="AP79" i="18" s="1"/>
  <c r="AK62" i="18"/>
  <c r="AJ51" i="18"/>
  <c r="AI23" i="18"/>
  <c r="AP23" i="18" s="1"/>
  <c r="AK16" i="18"/>
  <c r="AR16" i="18" s="1"/>
  <c r="AI6" i="18"/>
  <c r="AJ86" i="18"/>
  <c r="AJ85" i="18"/>
  <c r="AB135" i="20"/>
  <c r="Z135" i="20"/>
  <c r="G77" i="18"/>
  <c r="Q77" i="18" s="1"/>
  <c r="G99" i="18"/>
  <c r="H85" i="18"/>
  <c r="AH117" i="18"/>
  <c r="AG23" i="18"/>
  <c r="G121" i="18"/>
  <c r="Q121" i="18" s="1"/>
  <c r="F12" i="18"/>
  <c r="Y12" i="18" s="1"/>
  <c r="H60" i="18"/>
  <c r="F86" i="18"/>
  <c r="H90" i="18"/>
  <c r="H102" i="18"/>
  <c r="R102" i="18" s="1"/>
  <c r="G131" i="18"/>
  <c r="G38" i="18"/>
  <c r="G78" i="18"/>
  <c r="H124" i="18"/>
  <c r="F9" i="18"/>
  <c r="Y9" i="18" s="1"/>
  <c r="G12" i="18"/>
  <c r="G129" i="18"/>
  <c r="G83" i="18"/>
  <c r="F98" i="18"/>
  <c r="Y98" i="18" s="1"/>
  <c r="G27" i="18"/>
  <c r="G26" i="18"/>
  <c r="F33" i="18"/>
  <c r="Y33" i="18" s="1"/>
  <c r="F88" i="18"/>
  <c r="Y88" i="18" s="1"/>
  <c r="F119" i="18"/>
  <c r="Y119" i="18" s="1"/>
  <c r="H51" i="18"/>
  <c r="R51" i="18" s="1"/>
  <c r="G113" i="18"/>
  <c r="G87" i="18"/>
  <c r="H7" i="18"/>
  <c r="H27" i="18"/>
  <c r="R27" i="18" s="1"/>
  <c r="G98" i="18"/>
  <c r="G118" i="18"/>
  <c r="H12" i="18"/>
  <c r="AH121" i="18"/>
  <c r="F122" i="18"/>
  <c r="Y122" i="18" s="1"/>
  <c r="AH78" i="18"/>
  <c r="AH18" i="18"/>
  <c r="G122" i="18"/>
  <c r="H130" i="18"/>
  <c r="AH6" i="18"/>
  <c r="H57" i="18"/>
  <c r="G72" i="18"/>
  <c r="H30" i="18"/>
  <c r="H82" i="18"/>
  <c r="H123" i="18"/>
  <c r="G56" i="18"/>
  <c r="G55" i="18"/>
  <c r="Q55" i="18" s="1"/>
  <c r="H96" i="18"/>
  <c r="R96" i="18" s="1"/>
  <c r="F99" i="18"/>
  <c r="Y99" i="18" s="1"/>
  <c r="Q14" i="18"/>
  <c r="G36" i="18"/>
  <c r="H110" i="18"/>
  <c r="AG127" i="18"/>
  <c r="AF84" i="18"/>
  <c r="AH83" i="18"/>
  <c r="AG10" i="18"/>
  <c r="F95" i="18"/>
  <c r="Y95" i="18" s="1"/>
  <c r="G108" i="18"/>
  <c r="H116" i="18"/>
  <c r="AG107" i="18"/>
  <c r="AQ107" i="18" s="1"/>
  <c r="AH94" i="18"/>
  <c r="AH43" i="18"/>
  <c r="AF118" i="18"/>
  <c r="AH100" i="18"/>
  <c r="AH97" i="18"/>
  <c r="AG22" i="18"/>
  <c r="AH55" i="18"/>
  <c r="AG47" i="18"/>
  <c r="AQ47" i="18" s="1"/>
  <c r="AH39" i="18"/>
  <c r="H70" i="18"/>
  <c r="F82" i="18"/>
  <c r="Y82" i="18" s="1"/>
  <c r="F112" i="18"/>
  <c r="Y112" i="18" s="1"/>
  <c r="H26" i="18"/>
  <c r="H37" i="18"/>
  <c r="AH112" i="18"/>
  <c r="Z139" i="19"/>
  <c r="H16" i="18"/>
  <c r="R16" i="18" s="1"/>
  <c r="F57" i="18"/>
  <c r="Y57" i="18" s="1"/>
  <c r="F15" i="18"/>
  <c r="Y15" i="18" s="1"/>
  <c r="F43" i="18"/>
  <c r="Y43" i="18" s="1"/>
  <c r="F60" i="18"/>
  <c r="Y60" i="18" s="1"/>
  <c r="H67" i="18"/>
  <c r="F113" i="18"/>
  <c r="Y113" i="18" s="1"/>
  <c r="L76" i="22"/>
  <c r="L75" i="23" s="1"/>
  <c r="AH32" i="18"/>
  <c r="AH31" i="18"/>
  <c r="AR31" i="18" s="1"/>
  <c r="AH14" i="18"/>
  <c r="H41" i="18"/>
  <c r="H80" i="18"/>
  <c r="G117" i="18"/>
  <c r="Q117" i="18" s="1"/>
  <c r="L118" i="22"/>
  <c r="L117" i="23" s="1"/>
  <c r="AH74" i="18"/>
  <c r="AH34" i="18"/>
  <c r="AG9" i="18"/>
  <c r="H24" i="18"/>
  <c r="H77" i="18"/>
  <c r="H88" i="18"/>
  <c r="H91" i="18"/>
  <c r="R91" i="18" s="1"/>
  <c r="F101" i="18"/>
  <c r="Y101" i="18" s="1"/>
  <c r="L16" i="22"/>
  <c r="L15" i="23" s="1"/>
  <c r="AH113" i="18"/>
  <c r="AH108" i="18"/>
  <c r="AR108" i="18" s="1"/>
  <c r="R89" i="18"/>
  <c r="G6" i="18"/>
  <c r="F7" i="18"/>
  <c r="Y7" i="18" s="1"/>
  <c r="G42" i="18"/>
  <c r="H56" i="18"/>
  <c r="R56" i="18" s="1"/>
  <c r="L94" i="22"/>
  <c r="L93" i="23" s="1"/>
  <c r="H20" i="18"/>
  <c r="G53" i="18"/>
  <c r="AH89" i="18"/>
  <c r="AG33" i="18"/>
  <c r="G62" i="18"/>
  <c r="Q62" i="18" s="1"/>
  <c r="F18" i="18"/>
  <c r="Y18" i="18" s="1"/>
  <c r="F64" i="18"/>
  <c r="Y64" i="18" s="1"/>
  <c r="G67" i="18"/>
  <c r="H92" i="18"/>
  <c r="F109" i="18"/>
  <c r="Y109" i="18" s="1"/>
  <c r="F114" i="18"/>
  <c r="Y114" i="18" s="1"/>
  <c r="G92" i="18"/>
  <c r="L116" i="22"/>
  <c r="L115" i="23" s="1"/>
  <c r="L75" i="22"/>
  <c r="L74" i="23" s="1"/>
  <c r="AH122" i="18"/>
  <c r="AF102" i="18"/>
  <c r="AH95" i="18"/>
  <c r="AG93" i="18"/>
  <c r="AH86" i="18"/>
  <c r="AH66" i="18"/>
  <c r="AH65" i="18"/>
  <c r="AG51" i="18"/>
  <c r="AG50" i="18"/>
  <c r="AH47" i="18"/>
  <c r="AR47" i="18" s="1"/>
  <c r="AG39" i="18"/>
  <c r="AQ39" i="18" s="1"/>
  <c r="AH21" i="18"/>
  <c r="AR21" i="18" s="1"/>
  <c r="AG19" i="18"/>
  <c r="AQ19" i="18" s="1"/>
  <c r="AH10" i="18"/>
  <c r="G11" i="18"/>
  <c r="F16" i="18"/>
  <c r="Y16" i="18" s="1"/>
  <c r="F6" i="18"/>
  <c r="Y6" i="18" s="1"/>
  <c r="F37" i="18"/>
  <c r="G68" i="18"/>
  <c r="F105" i="18"/>
  <c r="Y105" i="18" s="1"/>
  <c r="F116" i="18"/>
  <c r="Y116" i="18" s="1"/>
  <c r="H120" i="18"/>
  <c r="AH132" i="18"/>
  <c r="R115" i="18"/>
  <c r="AG111" i="18"/>
  <c r="AH36" i="18"/>
  <c r="AG31" i="18"/>
  <c r="AH25" i="18"/>
  <c r="AR25" i="18" s="1"/>
  <c r="AH15" i="18"/>
  <c r="G20" i="18"/>
  <c r="G37" i="18"/>
  <c r="Q37" i="18" s="1"/>
  <c r="F52" i="18"/>
  <c r="G105" i="18"/>
  <c r="F123" i="18"/>
  <c r="Y123" i="18" s="1"/>
  <c r="L74" i="22"/>
  <c r="L73" i="23" s="1"/>
  <c r="L38" i="22"/>
  <c r="L37" i="23" s="1"/>
  <c r="R97" i="18"/>
  <c r="F14" i="18"/>
  <c r="Y14" i="18" s="1"/>
  <c r="F29" i="18"/>
  <c r="P29" i="18" s="1"/>
  <c r="U29" i="18" s="1"/>
  <c r="G88" i="18"/>
  <c r="G64" i="18"/>
  <c r="F77" i="18"/>
  <c r="Y77" i="18" s="1"/>
  <c r="F79" i="18"/>
  <c r="Y79" i="18" s="1"/>
  <c r="F89" i="18"/>
  <c r="H111" i="18"/>
  <c r="G123" i="18"/>
  <c r="F129" i="18"/>
  <c r="Y129" i="18" s="1"/>
  <c r="F63" i="18"/>
  <c r="Y63" i="18" s="1"/>
  <c r="F130" i="18"/>
  <c r="Y130" i="18" s="1"/>
  <c r="L117" i="22"/>
  <c r="L116" i="23" s="1"/>
  <c r="AH128" i="18"/>
  <c r="AH114" i="18"/>
  <c r="AF111" i="18"/>
  <c r="AH104" i="18"/>
  <c r="AH103" i="18"/>
  <c r="AG63" i="18"/>
  <c r="AH62" i="18"/>
  <c r="AF58" i="18"/>
  <c r="AH54" i="18"/>
  <c r="AH48" i="18"/>
  <c r="AF42" i="18"/>
  <c r="AG40" i="18"/>
  <c r="AG29" i="18"/>
  <c r="AH23" i="18"/>
  <c r="AE67" i="22"/>
  <c r="H378" i="1"/>
  <c r="H320" i="1" s="1"/>
  <c r="AH6" i="22"/>
  <c r="R191" i="1"/>
  <c r="R190" i="1"/>
  <c r="R189" i="1"/>
  <c r="R187" i="1"/>
  <c r="R301" i="1" s="1"/>
  <c r="R305" i="1" s="1"/>
  <c r="R186" i="1"/>
  <c r="R188" i="1"/>
  <c r="L191" i="1"/>
  <c r="L190" i="1"/>
  <c r="L189" i="1"/>
  <c r="L187" i="1"/>
  <c r="L301" i="1" s="1"/>
  <c r="L305" i="1" s="1"/>
  <c r="L186" i="1"/>
  <c r="L188" i="1"/>
  <c r="N189" i="1"/>
  <c r="N188" i="1"/>
  <c r="N187" i="1"/>
  <c r="N186" i="1"/>
  <c r="N191" i="1"/>
  <c r="N190" i="1"/>
  <c r="O188" i="1"/>
  <c r="O187" i="1"/>
  <c r="O186" i="1"/>
  <c r="O191" i="1"/>
  <c r="O190" i="1"/>
  <c r="O189" i="1"/>
  <c r="P187" i="1"/>
  <c r="P186" i="1"/>
  <c r="P191" i="1"/>
  <c r="P189" i="1"/>
  <c r="P190" i="1"/>
  <c r="P188" i="1"/>
  <c r="Q188" i="1"/>
  <c r="Q191" i="1"/>
  <c r="Q190" i="1"/>
  <c r="Q189" i="1"/>
  <c r="Q187" i="1"/>
  <c r="Q301" i="1" s="1"/>
  <c r="Q305" i="1" s="1"/>
  <c r="Q186" i="1"/>
  <c r="F191" i="1"/>
  <c r="F190" i="1"/>
  <c r="F189" i="1"/>
  <c r="F186" i="1"/>
  <c r="AB96" i="23" s="1"/>
  <c r="F188" i="1"/>
  <c r="F187" i="1"/>
  <c r="I7" i="17" s="1"/>
  <c r="G190" i="1"/>
  <c r="G189" i="1"/>
  <c r="G188" i="1"/>
  <c r="G187" i="1"/>
  <c r="I8" i="17" s="1"/>
  <c r="G186" i="1"/>
  <c r="G191" i="1"/>
  <c r="M190" i="1"/>
  <c r="M189" i="1"/>
  <c r="M188" i="1"/>
  <c r="M187" i="1"/>
  <c r="M186" i="1"/>
  <c r="M191" i="1"/>
  <c r="H411" i="1"/>
  <c r="H321" i="1" s="1"/>
  <c r="H459" i="1"/>
  <c r="H324" i="1" s="1"/>
  <c r="H427" i="1"/>
  <c r="H322" i="1" s="1"/>
  <c r="F326" i="1"/>
  <c r="F332" i="1"/>
  <c r="H219" i="1"/>
  <c r="H218" i="1"/>
  <c r="H215" i="1"/>
  <c r="H217" i="1"/>
  <c r="H220" i="1"/>
  <c r="AH127" i="22"/>
  <c r="F328" i="1"/>
  <c r="H550" i="1"/>
  <c r="H330" i="1" s="1"/>
  <c r="AE81" i="22"/>
  <c r="Q81" i="22" s="1"/>
  <c r="F325" i="1"/>
  <c r="AE39" i="22"/>
  <c r="F323" i="1"/>
  <c r="F318" i="1"/>
  <c r="J333" i="1"/>
  <c r="H361" i="1"/>
  <c r="H336" i="1"/>
  <c r="H468" i="1"/>
  <c r="H392" i="1"/>
  <c r="H376" i="1"/>
  <c r="H355" i="1"/>
  <c r="H357" i="1"/>
  <c r="H407" i="1"/>
  <c r="H385" i="1"/>
  <c r="H390" i="1"/>
  <c r="H338" i="1"/>
  <c r="H395" i="1"/>
  <c r="H450" i="1"/>
  <c r="H436" i="1"/>
  <c r="H422" i="1"/>
  <c r="H356" i="1"/>
  <c r="H439" i="1"/>
  <c r="H404" i="1"/>
  <c r="H452" i="1"/>
  <c r="H489" i="1"/>
  <c r="H455" i="1"/>
  <c r="H532" i="1"/>
  <c r="H393" i="1"/>
  <c r="H421" i="1"/>
  <c r="H471" i="1"/>
  <c r="H453" i="1"/>
  <c r="H386" i="1"/>
  <c r="H466" i="1"/>
  <c r="H448" i="1"/>
  <c r="H558" i="1"/>
  <c r="H337" i="1"/>
  <c r="H434" i="1"/>
  <c r="H396" i="1"/>
  <c r="H397" i="1"/>
  <c r="H435" i="1"/>
  <c r="H437" i="1"/>
  <c r="H438" i="1"/>
  <c r="H341" i="1"/>
  <c r="H454" i="1"/>
  <c r="H360" i="1"/>
  <c r="H425" i="1"/>
  <c r="H409" i="1"/>
  <c r="F327" i="1"/>
  <c r="H470" i="1"/>
  <c r="H373" i="1"/>
  <c r="H423" i="1"/>
  <c r="H402" i="1"/>
  <c r="H405" i="1"/>
  <c r="H424" i="1"/>
  <c r="H351" i="1"/>
  <c r="H387" i="1"/>
  <c r="H391" i="1"/>
  <c r="H419" i="1"/>
  <c r="H353" i="1"/>
  <c r="H340" i="1"/>
  <c r="H362" i="1"/>
  <c r="H472" i="1"/>
  <c r="H457" i="1"/>
  <c r="S11" i="22"/>
  <c r="AH11" i="22"/>
  <c r="F319" i="1"/>
  <c r="I333" i="1"/>
  <c r="H394" i="1"/>
  <c r="H400" i="1"/>
  <c r="H451" i="1"/>
  <c r="H398" i="1"/>
  <c r="H354" i="1"/>
  <c r="H339" i="1"/>
  <c r="H401" i="1"/>
  <c r="H375" i="1"/>
  <c r="H406" i="1"/>
  <c r="H467" i="1"/>
  <c r="H389" i="1"/>
  <c r="H449" i="1"/>
  <c r="H352" i="1"/>
  <c r="H403" i="1"/>
  <c r="H542" i="1"/>
  <c r="H564" i="1"/>
  <c r="H576" i="1"/>
  <c r="H560" i="1"/>
  <c r="H519" i="1"/>
  <c r="H548" i="1"/>
  <c r="H500" i="1"/>
  <c r="H557" i="1"/>
  <c r="H482" i="1"/>
  <c r="H507" i="1"/>
  <c r="H484" i="1"/>
  <c r="H546" i="1"/>
  <c r="H559" i="1"/>
  <c r="H544" i="1"/>
  <c r="H521" i="1"/>
  <c r="H541" i="1"/>
  <c r="H518" i="1"/>
  <c r="H485" i="1"/>
  <c r="H487" i="1"/>
  <c r="H563" i="1"/>
  <c r="H509" i="1"/>
  <c r="K234" i="1"/>
  <c r="H388" i="1"/>
  <c r="H342" i="1"/>
  <c r="H374" i="1"/>
  <c r="J243" i="1"/>
  <c r="H420" i="1"/>
  <c r="J261" i="1"/>
  <c r="H399" i="1"/>
  <c r="J270" i="1"/>
  <c r="H358" i="1"/>
  <c r="K231" i="1"/>
  <c r="H418" i="1"/>
  <c r="J279" i="1"/>
  <c r="H359" i="1"/>
  <c r="J288" i="1"/>
  <c r="H408" i="1"/>
  <c r="H371" i="1"/>
  <c r="H372" i="1"/>
  <c r="K147" i="1"/>
  <c r="H530" i="1"/>
  <c r="K246" i="1"/>
  <c r="H469" i="1"/>
  <c r="K156" i="1"/>
  <c r="H504" i="1"/>
  <c r="J168" i="1"/>
  <c r="H506" i="1"/>
  <c r="K148" i="1"/>
  <c r="H531" i="1"/>
  <c r="H488" i="1"/>
  <c r="H520" i="1"/>
  <c r="H490" i="1"/>
  <c r="H456" i="1"/>
  <c r="H481" i="1"/>
  <c r="H483" i="1"/>
  <c r="H486" i="1"/>
  <c r="K149" i="1"/>
  <c r="H501" i="1"/>
  <c r="J153" i="1"/>
  <c r="H503" i="1"/>
  <c r="J144" i="1"/>
  <c r="H499" i="1"/>
  <c r="J150" i="1"/>
  <c r="H502" i="1"/>
  <c r="J165" i="1"/>
  <c r="H505" i="1"/>
  <c r="J171" i="1"/>
  <c r="H508" i="1"/>
  <c r="K157" i="1"/>
  <c r="H543" i="1"/>
  <c r="K161" i="1"/>
  <c r="H545" i="1"/>
  <c r="K166" i="1"/>
  <c r="H547" i="1"/>
  <c r="K170" i="1"/>
  <c r="H565" i="1"/>
  <c r="J162" i="1"/>
  <c r="H575" i="1"/>
  <c r="H561" i="1"/>
  <c r="J159" i="1"/>
  <c r="H562" i="1"/>
  <c r="AE59" i="22"/>
  <c r="Q59" i="22" s="1"/>
  <c r="AE41" i="22"/>
  <c r="AE40" i="22"/>
  <c r="Q40" i="22" s="1"/>
  <c r="AE10" i="22"/>
  <c r="AH48" i="22"/>
  <c r="AH53" i="22"/>
  <c r="S94" i="22"/>
  <c r="AE102" i="22"/>
  <c r="Q102" i="22" s="1"/>
  <c r="AE130" i="22"/>
  <c r="AE124" i="22"/>
  <c r="Q124" i="22" s="1"/>
  <c r="AH14" i="22"/>
  <c r="G77" i="22"/>
  <c r="AH97" i="22"/>
  <c r="G109" i="22"/>
  <c r="G39" i="22"/>
  <c r="P78" i="22"/>
  <c r="AE105" i="22"/>
  <c r="Q105" i="22" s="1"/>
  <c r="G69" i="22"/>
  <c r="G57" i="22"/>
  <c r="AH104" i="22"/>
  <c r="AF67" i="22"/>
  <c r="G123" i="22"/>
  <c r="G103" i="22"/>
  <c r="G97" i="22"/>
  <c r="G24" i="22"/>
  <c r="AH88" i="22"/>
  <c r="AF21" i="22"/>
  <c r="T21" i="22" s="1"/>
  <c r="AC109" i="22"/>
  <c r="H109" i="22" s="1"/>
  <c r="G100" i="22"/>
  <c r="AE83" i="22"/>
  <c r="G99" i="22"/>
  <c r="G20" i="22"/>
  <c r="P22" i="22"/>
  <c r="AF9" i="22"/>
  <c r="T9" i="22" s="1"/>
  <c r="G106" i="18"/>
  <c r="G132" i="18"/>
  <c r="AG85" i="18"/>
  <c r="AG70" i="18"/>
  <c r="AQ70" i="18" s="1"/>
  <c r="AG69" i="18"/>
  <c r="G7" i="18"/>
  <c r="G86" i="18"/>
  <c r="Q86" i="18" s="1"/>
  <c r="AG128" i="18"/>
  <c r="AG101" i="18"/>
  <c r="AG100" i="18"/>
  <c r="AG66" i="18"/>
  <c r="AG35" i="18"/>
  <c r="AG17" i="18"/>
  <c r="G28" i="18"/>
  <c r="Q28" i="18" s="1"/>
  <c r="G119" i="18"/>
  <c r="AG60" i="18"/>
  <c r="Q115" i="18"/>
  <c r="AG103" i="18"/>
  <c r="AG95" i="18"/>
  <c r="AG21" i="18"/>
  <c r="AG14" i="18"/>
  <c r="AQ14" i="18" s="1"/>
  <c r="G8" i="18"/>
  <c r="Q8" i="18" s="1"/>
  <c r="G80" i="18"/>
  <c r="AG110" i="18"/>
  <c r="AG73" i="18"/>
  <c r="AG52" i="18"/>
  <c r="AG49" i="18"/>
  <c r="AG43" i="18"/>
  <c r="AQ43" i="18" s="1"/>
  <c r="AG13" i="18"/>
  <c r="Z140" i="19"/>
  <c r="AF107" i="18"/>
  <c r="AP107" i="18" s="1"/>
  <c r="AF47" i="18"/>
  <c r="AF44" i="18"/>
  <c r="AP44" i="18" s="1"/>
  <c r="AF17" i="18"/>
  <c r="F53" i="18"/>
  <c r="Y53" i="18" s="1"/>
  <c r="F30" i="18"/>
  <c r="Y30" i="18" s="1"/>
  <c r="AF103" i="18"/>
  <c r="AF90" i="18"/>
  <c r="AP90" i="18" s="1"/>
  <c r="AF73" i="18"/>
  <c r="AP73" i="18" s="1"/>
  <c r="F34" i="18"/>
  <c r="Y34" i="18" s="1"/>
  <c r="AF108" i="18"/>
  <c r="AP108" i="18" s="1"/>
  <c r="AF93" i="18"/>
  <c r="AF76" i="18"/>
  <c r="AF66" i="18"/>
  <c r="AF46" i="18"/>
  <c r="AP46" i="18" s="1"/>
  <c r="AF39" i="18"/>
  <c r="AF32" i="18"/>
  <c r="AP32" i="18" s="1"/>
  <c r="AF8" i="18"/>
  <c r="AF128" i="18"/>
  <c r="AF94" i="18"/>
  <c r="AF45" i="18"/>
  <c r="AF31" i="18"/>
  <c r="AF21" i="18"/>
  <c r="AF13" i="18"/>
  <c r="AF10" i="18"/>
  <c r="AF70" i="18"/>
  <c r="AF61" i="18"/>
  <c r="AF54" i="18"/>
  <c r="AP54" i="18" s="1"/>
  <c r="AF48" i="18"/>
  <c r="AF124" i="18"/>
  <c r="AF115" i="18"/>
  <c r="AF59" i="18"/>
  <c r="J147" i="1"/>
  <c r="J234" i="1"/>
  <c r="J252" i="1"/>
  <c r="J156" i="1"/>
  <c r="K238" i="1"/>
  <c r="K249" i="1"/>
  <c r="J154" i="1"/>
  <c r="K278" i="1"/>
  <c r="K281" i="1"/>
  <c r="K256" i="1"/>
  <c r="K263" i="1"/>
  <c r="K266" i="1"/>
  <c r="K286" i="1"/>
  <c r="J145" i="1"/>
  <c r="K259" i="1"/>
  <c r="K257" i="1"/>
  <c r="J264" i="1"/>
  <c r="K264" i="1"/>
  <c r="J160" i="1"/>
  <c r="K271" i="1"/>
  <c r="J276" i="1"/>
  <c r="K276" i="1"/>
  <c r="K279" i="1"/>
  <c r="J282" i="1"/>
  <c r="K282" i="1"/>
  <c r="K232" i="1"/>
  <c r="K240" i="1"/>
  <c r="K248" i="1"/>
  <c r="K253" i="1"/>
  <c r="K258" i="1"/>
  <c r="K265" i="1"/>
  <c r="K268" i="1"/>
  <c r="K272" i="1"/>
  <c r="K275" i="1"/>
  <c r="K277" i="1"/>
  <c r="K280" i="1"/>
  <c r="K283" i="1"/>
  <c r="K152" i="1"/>
  <c r="K165" i="1"/>
  <c r="K229" i="1"/>
  <c r="K236" i="1"/>
  <c r="K230" i="1"/>
  <c r="K239" i="1"/>
  <c r="K250" i="1"/>
  <c r="J225" i="1"/>
  <c r="K284" i="1"/>
  <c r="K233" i="1"/>
  <c r="K237" i="1"/>
  <c r="J255" i="1"/>
  <c r="K255" i="1"/>
  <c r="J157" i="1"/>
  <c r="J166" i="1"/>
  <c r="K285" i="1"/>
  <c r="K290" i="1"/>
  <c r="J291" i="1"/>
  <c r="K291" i="1"/>
  <c r="K144" i="1"/>
  <c r="K153" i="1"/>
  <c r="K158" i="1"/>
  <c r="K162" i="1"/>
  <c r="K167" i="1"/>
  <c r="K171" i="1"/>
  <c r="K241" i="1"/>
  <c r="K245" i="1"/>
  <c r="K262" i="1"/>
  <c r="K269" i="1"/>
  <c r="K289" i="1"/>
  <c r="K145" i="1"/>
  <c r="K154" i="1"/>
  <c r="K163" i="1"/>
  <c r="K172" i="1"/>
  <c r="K225" i="1"/>
  <c r="K226" i="1"/>
  <c r="K242" i="1"/>
  <c r="K227" i="1"/>
  <c r="J148" i="1"/>
  <c r="K247" i="1"/>
  <c r="K267" i="1"/>
  <c r="J273" i="1"/>
  <c r="K273" i="1"/>
  <c r="J169" i="1"/>
  <c r="K287" i="1"/>
  <c r="K146" i="1"/>
  <c r="K150" i="1"/>
  <c r="K155" i="1"/>
  <c r="K159" i="1"/>
  <c r="K164" i="1"/>
  <c r="K168" i="1"/>
  <c r="K173" i="1"/>
  <c r="K254" i="1"/>
  <c r="K243" i="1"/>
  <c r="K251" i="1"/>
  <c r="K261" i="1"/>
  <c r="K270" i="1"/>
  <c r="J231" i="1"/>
  <c r="K252" i="1"/>
  <c r="K260" i="1"/>
  <c r="K274" i="1"/>
  <c r="K288" i="1"/>
  <c r="K151" i="1"/>
  <c r="K160" i="1"/>
  <c r="K169" i="1"/>
  <c r="K228" i="1"/>
  <c r="K235" i="1"/>
  <c r="K244" i="1"/>
  <c r="J233" i="1"/>
  <c r="J241" i="1"/>
  <c r="I164" i="1"/>
  <c r="J230" i="1"/>
  <c r="J239" i="1"/>
  <c r="J286" i="1"/>
  <c r="J232" i="1"/>
  <c r="J248" i="1"/>
  <c r="J253" i="1"/>
  <c r="J265" i="1"/>
  <c r="J268" i="1"/>
  <c r="J272" i="1"/>
  <c r="J275" i="1"/>
  <c r="J277" i="1"/>
  <c r="J280" i="1"/>
  <c r="J283" i="1"/>
  <c r="J228" i="1"/>
  <c r="J237" i="1"/>
  <c r="J246" i="1"/>
  <c r="I238" i="1"/>
  <c r="J238" i="1"/>
  <c r="J229" i="1"/>
  <c r="I278" i="1"/>
  <c r="J278" i="1"/>
  <c r="J289" i="1"/>
  <c r="I234" i="1"/>
  <c r="J242" i="1"/>
  <c r="J250" i="1"/>
  <c r="J263" i="1"/>
  <c r="J151" i="1"/>
  <c r="J163" i="1"/>
  <c r="J172" i="1"/>
  <c r="J245" i="1"/>
  <c r="I154" i="1"/>
  <c r="J269" i="1"/>
  <c r="J281" i="1"/>
  <c r="I170" i="1"/>
  <c r="I290" i="1"/>
  <c r="J290" i="1"/>
  <c r="J256" i="1"/>
  <c r="J266" i="1"/>
  <c r="J227" i="1"/>
  <c r="I145" i="1"/>
  <c r="J235" i="1"/>
  <c r="I148" i="1"/>
  <c r="J247" i="1"/>
  <c r="J251" i="1"/>
  <c r="J259" i="1"/>
  <c r="I270" i="1"/>
  <c r="J287" i="1"/>
  <c r="J240" i="1"/>
  <c r="J249" i="1"/>
  <c r="J258" i="1"/>
  <c r="J267" i="1"/>
  <c r="J285" i="1"/>
  <c r="J254" i="1"/>
  <c r="I262" i="1"/>
  <c r="J262" i="1"/>
  <c r="I284" i="1"/>
  <c r="J284" i="1"/>
  <c r="I166" i="1"/>
  <c r="J226" i="1"/>
  <c r="I156" i="1"/>
  <c r="J236" i="1"/>
  <c r="J244" i="1"/>
  <c r="I257" i="1"/>
  <c r="J257" i="1"/>
  <c r="J260" i="1"/>
  <c r="I264" i="1"/>
  <c r="J271" i="1"/>
  <c r="J274" i="1"/>
  <c r="I279" i="1"/>
  <c r="J146" i="1"/>
  <c r="J149" i="1"/>
  <c r="J152" i="1"/>
  <c r="J155" i="1"/>
  <c r="J158" i="1"/>
  <c r="J161" i="1"/>
  <c r="J164" i="1"/>
  <c r="J167" i="1"/>
  <c r="J170" i="1"/>
  <c r="J173" i="1"/>
  <c r="AH106" i="22"/>
  <c r="AE78" i="22"/>
  <c r="Q78" i="22" s="1"/>
  <c r="G79" i="22"/>
  <c r="AF106" i="22"/>
  <c r="T106" i="22" s="1"/>
  <c r="G65" i="22"/>
  <c r="G59" i="22"/>
  <c r="P128" i="22"/>
  <c r="AF69" i="22"/>
  <c r="T69" i="22" s="1"/>
  <c r="P54" i="22"/>
  <c r="H147" i="1"/>
  <c r="H239" i="1"/>
  <c r="H256" i="1"/>
  <c r="H263" i="1"/>
  <c r="H266" i="1"/>
  <c r="H286" i="1"/>
  <c r="H172" i="1"/>
  <c r="H247" i="1"/>
  <c r="H152" i="1"/>
  <c r="H276" i="1"/>
  <c r="H282" i="1"/>
  <c r="H288" i="1"/>
  <c r="H232" i="1"/>
  <c r="H150" i="1"/>
  <c r="H240" i="1"/>
  <c r="H268" i="1"/>
  <c r="H280" i="1"/>
  <c r="H171" i="1"/>
  <c r="I226" i="1"/>
  <c r="I144" i="1"/>
  <c r="I146" i="1"/>
  <c r="I150" i="1"/>
  <c r="I152" i="1"/>
  <c r="I158" i="1"/>
  <c r="I160" i="1"/>
  <c r="I162" i="1"/>
  <c r="I168" i="1"/>
  <c r="I172" i="1"/>
  <c r="I228" i="1"/>
  <c r="I230" i="1"/>
  <c r="I232" i="1"/>
  <c r="I236" i="1"/>
  <c r="I240" i="1"/>
  <c r="I242" i="1"/>
  <c r="I244" i="1"/>
  <c r="I246" i="1"/>
  <c r="I248" i="1"/>
  <c r="I250" i="1"/>
  <c r="I252" i="1"/>
  <c r="I254" i="1"/>
  <c r="I256" i="1"/>
  <c r="I258" i="1"/>
  <c r="I260" i="1"/>
  <c r="I266" i="1"/>
  <c r="I268" i="1"/>
  <c r="I272" i="1"/>
  <c r="I274" i="1"/>
  <c r="I276" i="1"/>
  <c r="I280" i="1"/>
  <c r="I282" i="1"/>
  <c r="I286" i="1"/>
  <c r="I288" i="1"/>
  <c r="H157" i="1"/>
  <c r="H161" i="1"/>
  <c r="H164" i="1"/>
  <c r="H166" i="1"/>
  <c r="H285" i="1"/>
  <c r="H291" i="1"/>
  <c r="H281" i="1"/>
  <c r="H233" i="1"/>
  <c r="H227" i="1"/>
  <c r="H235" i="1"/>
  <c r="H148" i="1"/>
  <c r="H251" i="1"/>
  <c r="H270" i="1"/>
  <c r="I147" i="1"/>
  <c r="I149" i="1"/>
  <c r="I151" i="1"/>
  <c r="I153" i="1"/>
  <c r="I155" i="1"/>
  <c r="I157" i="1"/>
  <c r="I159" i="1"/>
  <c r="I161" i="1"/>
  <c r="I163" i="1"/>
  <c r="I165" i="1"/>
  <c r="I167" i="1"/>
  <c r="I169" i="1"/>
  <c r="I171" i="1"/>
  <c r="I173" i="1"/>
  <c r="I225" i="1"/>
  <c r="I227" i="1"/>
  <c r="I229" i="1"/>
  <c r="I231" i="1"/>
  <c r="I233" i="1"/>
  <c r="I235" i="1"/>
  <c r="I237" i="1"/>
  <c r="I239" i="1"/>
  <c r="I241" i="1"/>
  <c r="I243" i="1"/>
  <c r="I245" i="1"/>
  <c r="I247" i="1"/>
  <c r="I249" i="1"/>
  <c r="I251" i="1"/>
  <c r="I253" i="1"/>
  <c r="I255" i="1"/>
  <c r="I259" i="1"/>
  <c r="I261" i="1"/>
  <c r="I263" i="1"/>
  <c r="I265" i="1"/>
  <c r="I267" i="1"/>
  <c r="I269" i="1"/>
  <c r="I271" i="1"/>
  <c r="I273" i="1"/>
  <c r="I275" i="1"/>
  <c r="I277" i="1"/>
  <c r="I281" i="1"/>
  <c r="I283" i="1"/>
  <c r="I285" i="1"/>
  <c r="I287" i="1"/>
  <c r="I289" i="1"/>
  <c r="I291" i="1"/>
  <c r="H244" i="1"/>
  <c r="H264" i="1"/>
  <c r="AF66" i="22"/>
  <c r="AE82" i="22"/>
  <c r="AE11" i="22"/>
  <c r="H267" i="1"/>
  <c r="AD103" i="22"/>
  <c r="M103" i="22" s="1"/>
  <c r="AC55" i="22"/>
  <c r="H55" i="22" s="1"/>
  <c r="AD19" i="22"/>
  <c r="AH128" i="22"/>
  <c r="AH116" i="22"/>
  <c r="AE18" i="22"/>
  <c r="G25" i="22"/>
  <c r="AE96" i="22"/>
  <c r="P26" i="22"/>
  <c r="G36" i="22"/>
  <c r="AH87" i="22"/>
  <c r="AE80" i="22"/>
  <c r="AE86" i="22"/>
  <c r="AH25" i="22"/>
  <c r="AH79" i="22"/>
  <c r="AE111" i="22"/>
  <c r="Q111" i="22" s="1"/>
  <c r="AH44" i="22"/>
  <c r="AH38" i="22"/>
  <c r="P108" i="22"/>
  <c r="AE117" i="22"/>
  <c r="Q117" i="22" s="1"/>
  <c r="AH49" i="22"/>
  <c r="AH13" i="22"/>
  <c r="AH43" i="22"/>
  <c r="AH125" i="22"/>
  <c r="AE56" i="22"/>
  <c r="Q56" i="22" s="1"/>
  <c r="AE38" i="22"/>
  <c r="Q38" i="22" s="1"/>
  <c r="P117" i="22"/>
  <c r="AE19" i="22"/>
  <c r="AE13" i="22"/>
  <c r="AH61" i="22"/>
  <c r="AE51" i="22"/>
  <c r="AH31" i="22"/>
  <c r="AE5" i="22"/>
  <c r="AD129" i="22"/>
  <c r="M129" i="22" s="1"/>
  <c r="L85" i="22"/>
  <c r="L84" i="23" s="1"/>
  <c r="L73" i="22"/>
  <c r="L72" i="23" s="1"/>
  <c r="L49" i="22"/>
  <c r="L48" i="23" s="1"/>
  <c r="L25" i="22"/>
  <c r="L24" i="23" s="1"/>
  <c r="L13" i="22"/>
  <c r="L12" i="23" s="1"/>
  <c r="AD100" i="22"/>
  <c r="M100" i="22" s="1"/>
  <c r="AD29" i="22"/>
  <c r="L132" i="22"/>
  <c r="L131" i="23" s="1"/>
  <c r="L12" i="22"/>
  <c r="L11" i="23" s="1"/>
  <c r="L89" i="22"/>
  <c r="L88" i="23" s="1"/>
  <c r="L11" i="22"/>
  <c r="L10" i="23" s="1"/>
  <c r="L130" i="22"/>
  <c r="L129" i="23" s="1"/>
  <c r="L70" i="22"/>
  <c r="L69" i="23" s="1"/>
  <c r="L10" i="22"/>
  <c r="AD10" i="22"/>
  <c r="L129" i="22"/>
  <c r="L128" i="23" s="1"/>
  <c r="L86" i="22"/>
  <c r="L85" i="23" s="1"/>
  <c r="L50" i="22"/>
  <c r="L49" i="23" s="1"/>
  <c r="L32" i="22"/>
  <c r="L31" i="23" s="1"/>
  <c r="N139" i="1"/>
  <c r="G116" i="22"/>
  <c r="G121" i="22"/>
  <c r="AE103" i="22"/>
  <c r="AC89" i="22"/>
  <c r="H89" i="22" s="1"/>
  <c r="AC34" i="22"/>
  <c r="H34" i="22" s="1"/>
  <c r="H278" i="1"/>
  <c r="AD67" i="22"/>
  <c r="M67" i="22" s="1"/>
  <c r="H230" i="1"/>
  <c r="H145" i="1"/>
  <c r="AE95" i="22"/>
  <c r="Q95" i="22" s="1"/>
  <c r="H269" i="1"/>
  <c r="AC95" i="22"/>
  <c r="H95" i="22" s="1"/>
  <c r="H237" i="1"/>
  <c r="AD109" i="22"/>
  <c r="M109" i="22" s="1"/>
  <c r="AC26" i="22"/>
  <c r="H26" i="22" s="1"/>
  <c r="H246" i="1"/>
  <c r="AF10" i="22"/>
  <c r="AE99" i="22"/>
  <c r="H254" i="1"/>
  <c r="AC74" i="22"/>
  <c r="H74" i="22" s="1"/>
  <c r="AD56" i="22"/>
  <c r="M56" i="22" s="1"/>
  <c r="AD41" i="22"/>
  <c r="M41" i="22" s="1"/>
  <c r="AE24" i="22"/>
  <c r="H274" i="1"/>
  <c r="H153" i="1"/>
  <c r="AE110" i="22"/>
  <c r="Q110" i="22" s="1"/>
  <c r="AC11" i="22"/>
  <c r="H11" i="22" s="1"/>
  <c r="H261" i="1"/>
  <c r="H134" i="1"/>
  <c r="H249" i="1"/>
  <c r="H260" i="1"/>
  <c r="H277" i="1"/>
  <c r="H262" i="1"/>
  <c r="H160" i="1"/>
  <c r="H258" i="1"/>
  <c r="H156" i="1"/>
  <c r="H8" i="17"/>
  <c r="P139" i="1"/>
  <c r="O139" i="1"/>
  <c r="H290" i="1"/>
  <c r="H259" i="1"/>
  <c r="H138" i="1"/>
  <c r="H225" i="1"/>
  <c r="H238" i="1"/>
  <c r="H273" i="1"/>
  <c r="H155" i="1"/>
  <c r="H146" i="1"/>
  <c r="AD79" i="22"/>
  <c r="M79" i="22" s="1"/>
  <c r="H229" i="1"/>
  <c r="AD83" i="22"/>
  <c r="M83" i="22" s="1"/>
  <c r="H234" i="1"/>
  <c r="AE84" i="22"/>
  <c r="AF46" i="22"/>
  <c r="T46" i="22" s="1"/>
  <c r="H279" i="1"/>
  <c r="H169" i="1"/>
  <c r="H287" i="1"/>
  <c r="H250" i="1"/>
  <c r="AD106" i="22"/>
  <c r="M106" i="22" s="1"/>
  <c r="AE68" i="22"/>
  <c r="AD40" i="22"/>
  <c r="M40" i="22" s="1"/>
  <c r="AE20" i="22"/>
  <c r="AE12" i="22"/>
  <c r="H167" i="1"/>
  <c r="H137" i="1"/>
  <c r="H163" i="1"/>
  <c r="H136" i="1"/>
  <c r="H257" i="1"/>
  <c r="H159" i="1"/>
  <c r="H149" i="1"/>
  <c r="AE118" i="22"/>
  <c r="Q118" i="22" s="1"/>
  <c r="AC131" i="22"/>
  <c r="H131" i="22" s="1"/>
  <c r="AC90" i="22"/>
  <c r="H90" i="22" s="1"/>
  <c r="AD121" i="22"/>
  <c r="AE54" i="22"/>
  <c r="Q54" i="22" s="1"/>
  <c r="AC19" i="22"/>
  <c r="H19" i="22" s="1"/>
  <c r="AF132" i="22"/>
  <c r="AF24" i="22"/>
  <c r="AF18" i="22"/>
  <c r="AE87" i="22"/>
  <c r="H236" i="1"/>
  <c r="H170" i="1"/>
  <c r="H151" i="1"/>
  <c r="Q139" i="1"/>
  <c r="AC118" i="22"/>
  <c r="H118" i="22" s="1"/>
  <c r="AC69" i="22"/>
  <c r="H69" i="22" s="1"/>
  <c r="AD42" i="22"/>
  <c r="M42" i="22" s="1"/>
  <c r="AD39" i="22"/>
  <c r="M39" i="22" s="1"/>
  <c r="AE22" i="22"/>
  <c r="Q22" i="22" s="1"/>
  <c r="AD86" i="22"/>
  <c r="M86" i="22" s="1"/>
  <c r="AF68" i="22"/>
  <c r="AE132" i="22"/>
  <c r="AE129" i="22"/>
  <c r="AD64" i="22"/>
  <c r="M64" i="22" s="1"/>
  <c r="AF22" i="22"/>
  <c r="AC91" i="22"/>
  <c r="H91" i="22" s="1"/>
  <c r="AE73" i="22"/>
  <c r="AD14" i="22"/>
  <c r="M14" i="22" s="1"/>
  <c r="AC67" i="22"/>
  <c r="H67" i="22" s="1"/>
  <c r="AC116" i="22"/>
  <c r="H116" i="22" s="1"/>
  <c r="AD110" i="22"/>
  <c r="M110" i="22" s="1"/>
  <c r="AF84" i="22"/>
  <c r="AE119" i="22"/>
  <c r="AE100" i="22"/>
  <c r="AE98" i="22"/>
  <c r="AC76" i="22"/>
  <c r="H76" i="22" s="1"/>
  <c r="AF91" i="22"/>
  <c r="AE115" i="22"/>
  <c r="M139" i="1"/>
  <c r="H135" i="1"/>
  <c r="H289" i="1"/>
  <c r="H226" i="1"/>
  <c r="AF90" i="22"/>
  <c r="AF19" i="22"/>
  <c r="AF114" i="22"/>
  <c r="AD108" i="22"/>
  <c r="M108" i="22" s="1"/>
  <c r="AD35" i="22"/>
  <c r="M35" i="22" s="1"/>
  <c r="G297" i="1"/>
  <c r="P293" i="1"/>
  <c r="AD105" i="23" s="1"/>
  <c r="O293" i="1"/>
  <c r="AD104" i="23" s="1"/>
  <c r="R294" i="1"/>
  <c r="AD105" i="22"/>
  <c r="M105" i="22" s="1"/>
  <c r="G78" i="22"/>
  <c r="AE42" i="22"/>
  <c r="AF45" i="22"/>
  <c r="G11" i="22"/>
  <c r="P48" i="22"/>
  <c r="AH47" i="22"/>
  <c r="AF51" i="22"/>
  <c r="T51" i="22" s="1"/>
  <c r="AC12" i="22"/>
  <c r="H12" i="22" s="1"/>
  <c r="G118" i="22"/>
  <c r="G15" i="22"/>
  <c r="P124" i="22"/>
  <c r="P129" i="22"/>
  <c r="R134" i="22"/>
  <c r="AH93" i="22"/>
  <c r="AH78" i="22"/>
  <c r="AH42" i="22"/>
  <c r="AD70" i="22"/>
  <c r="M70" i="22" s="1"/>
  <c r="AF48" i="22"/>
  <c r="L88" i="22"/>
  <c r="L87" i="23" s="1"/>
  <c r="AH63" i="22"/>
  <c r="AF23" i="22"/>
  <c r="T23" i="22" s="1"/>
  <c r="AE72" i="22"/>
  <c r="AE32" i="22"/>
  <c r="Q32" i="22" s="1"/>
  <c r="AE109" i="22"/>
  <c r="AD89" i="22"/>
  <c r="M89" i="22" s="1"/>
  <c r="G119" i="22"/>
  <c r="AC110" i="22"/>
  <c r="H110" i="22" s="1"/>
  <c r="AB141" i="22"/>
  <c r="AE104" i="22"/>
  <c r="AJ108" i="22"/>
  <c r="AH12" i="22"/>
  <c r="AH117" i="22"/>
  <c r="AD21" i="22"/>
  <c r="AD11" i="22"/>
  <c r="M11" i="22" s="1"/>
  <c r="AF113" i="22"/>
  <c r="AE47" i="22"/>
  <c r="L106" i="22"/>
  <c r="L105" i="23" s="1"/>
  <c r="AD59" i="22"/>
  <c r="M59" i="22" s="1"/>
  <c r="AC117" i="22"/>
  <c r="H117" i="22" s="1"/>
  <c r="AH46" i="22"/>
  <c r="AE16" i="22"/>
  <c r="S131" i="22"/>
  <c r="AH110" i="22"/>
  <c r="L125" i="22"/>
  <c r="L124" i="23" s="1"/>
  <c r="L105" i="22"/>
  <c r="L104" i="23" s="1"/>
  <c r="AJ126" i="22"/>
  <c r="AJ86" i="22"/>
  <c r="S46" i="22"/>
  <c r="AJ26" i="22"/>
  <c r="AE15" i="22"/>
  <c r="AF130" i="22"/>
  <c r="AF109" i="22"/>
  <c r="AH37" i="22"/>
  <c r="AF7" i="22"/>
  <c r="L124" i="22"/>
  <c r="L123" i="23" s="1"/>
  <c r="L84" i="22"/>
  <c r="L83" i="23" s="1"/>
  <c r="AD38" i="22"/>
  <c r="M38" i="22" s="1"/>
  <c r="G70" i="22"/>
  <c r="AJ99" i="22"/>
  <c r="AJ59" i="22"/>
  <c r="AJ39" i="22"/>
  <c r="AE57" i="22"/>
  <c r="AH45" i="22"/>
  <c r="AH40" i="22"/>
  <c r="AE36" i="22"/>
  <c r="AE25" i="22"/>
  <c r="AD15" i="22"/>
  <c r="AF129" i="22"/>
  <c r="AF108" i="22"/>
  <c r="AH54" i="22"/>
  <c r="AC127" i="22"/>
  <c r="H127" i="22" s="1"/>
  <c r="AC63" i="22"/>
  <c r="H63" i="22" s="1"/>
  <c r="AE116" i="22"/>
  <c r="AH94" i="22"/>
  <c r="AE66" i="22"/>
  <c r="Q66" i="22" s="1"/>
  <c r="AE61" i="22"/>
  <c r="Y151" i="22"/>
  <c r="AC15" i="22"/>
  <c r="H15" i="22" s="1"/>
  <c r="AF15" i="22"/>
  <c r="AE126" i="22"/>
  <c r="AE23" i="22"/>
  <c r="AI23" i="22" s="1"/>
  <c r="AC97" i="22"/>
  <c r="H97" i="22" s="1"/>
  <c r="AE120" i="22"/>
  <c r="Q120" i="22" s="1"/>
  <c r="AJ89" i="22"/>
  <c r="AH68" i="22"/>
  <c r="G68" i="22"/>
  <c r="AH107" i="22"/>
  <c r="AE77" i="22"/>
  <c r="AD71" i="22"/>
  <c r="M71" i="22" s="1"/>
  <c r="AD61" i="22"/>
  <c r="M61" i="22" s="1"/>
  <c r="AH56" i="22"/>
  <c r="AC51" i="22"/>
  <c r="H51" i="22" s="1"/>
  <c r="G40" i="22"/>
  <c r="AE53" i="22"/>
  <c r="AE88" i="22"/>
  <c r="AJ94" i="22"/>
  <c r="G74" i="22"/>
  <c r="AE101" i="22"/>
  <c r="AE94" i="22"/>
  <c r="AC71" i="22"/>
  <c r="H71" i="22" s="1"/>
  <c r="G66" i="22"/>
  <c r="AE50" i="22"/>
  <c r="AD30" i="22"/>
  <c r="M30" i="22" s="1"/>
  <c r="AF25" i="22"/>
  <c r="AE9" i="22"/>
  <c r="AJ81" i="22"/>
  <c r="AJ61" i="22"/>
  <c r="AC93" i="22"/>
  <c r="H93" i="22" s="1"/>
  <c r="AE71" i="22"/>
  <c r="AH39" i="22"/>
  <c r="AD9" i="22"/>
  <c r="M9" i="22" s="1"/>
  <c r="V141" i="22"/>
  <c r="G132" i="22"/>
  <c r="H131" i="23" s="1"/>
  <c r="AC113" i="22"/>
  <c r="H113" i="22" s="1"/>
  <c r="AE70" i="22"/>
  <c r="Q70" i="22" s="1"/>
  <c r="P60" i="22"/>
  <c r="AD44" i="22"/>
  <c r="M44" i="22" s="1"/>
  <c r="AE34" i="22"/>
  <c r="AE29" i="22"/>
  <c r="AH19" i="22"/>
  <c r="AH124" i="22"/>
  <c r="AD20" i="22"/>
  <c r="G127" i="22"/>
  <c r="G84" i="22"/>
  <c r="G64" i="22"/>
  <c r="AJ11" i="22"/>
  <c r="AE55" i="22"/>
  <c r="AF50" i="22"/>
  <c r="AC44" i="22"/>
  <c r="H44" i="22" s="1"/>
  <c r="G83" i="22"/>
  <c r="G43" i="22"/>
  <c r="G23" i="22"/>
  <c r="AJ91" i="22"/>
  <c r="AJ72" i="22"/>
  <c r="AJ52" i="22"/>
  <c r="S38" i="22"/>
  <c r="AD132" i="22"/>
  <c r="M132" i="22" s="1"/>
  <c r="AC130" i="22"/>
  <c r="H130" i="22" s="1"/>
  <c r="AE112" i="22"/>
  <c r="AD55" i="22"/>
  <c r="M55" i="22" s="1"/>
  <c r="AE44" i="22"/>
  <c r="Q44" i="22" s="1"/>
  <c r="AH18" i="22"/>
  <c r="AC46" i="22"/>
  <c r="H46" i="22" s="1"/>
  <c r="G62" i="22"/>
  <c r="G42" i="22"/>
  <c r="AJ131" i="22"/>
  <c r="AJ111" i="22"/>
  <c r="AJ71" i="22"/>
  <c r="AJ51" i="22"/>
  <c r="AJ31" i="22"/>
  <c r="S97" i="22"/>
  <c r="AH131" i="22"/>
  <c r="AC129" i="22"/>
  <c r="H129" i="22" s="1"/>
  <c r="AF65" i="22"/>
  <c r="AL65" i="22" s="1"/>
  <c r="AD130" i="22"/>
  <c r="M130" i="22" s="1"/>
  <c r="G102" i="22"/>
  <c r="G41" i="22"/>
  <c r="AJ130" i="22"/>
  <c r="S76" i="22"/>
  <c r="P17" i="22"/>
  <c r="G128" i="22"/>
  <c r="AF99" i="22"/>
  <c r="AD90" i="22"/>
  <c r="M90" i="22" s="1"/>
  <c r="AC85" i="22"/>
  <c r="H85" i="22" s="1"/>
  <c r="AE74" i="22"/>
  <c r="Q74" i="22" s="1"/>
  <c r="AE69" i="22"/>
  <c r="AE14" i="22"/>
  <c r="G101" i="22"/>
  <c r="AJ30" i="22"/>
  <c r="AD51" i="22"/>
  <c r="M51" i="22" s="1"/>
  <c r="AB139" i="22"/>
  <c r="AE7" i="22"/>
  <c r="AF77" i="22"/>
  <c r="AF14" i="22"/>
  <c r="AF93" i="22"/>
  <c r="T93" i="22" s="1"/>
  <c r="AE108" i="22"/>
  <c r="Q108" i="22" s="1"/>
  <c r="AE65" i="22"/>
  <c r="AC73" i="22"/>
  <c r="H73" i="22" s="1"/>
  <c r="L72" i="22"/>
  <c r="L71" i="23" s="1"/>
  <c r="AH130" i="22"/>
  <c r="AH92" i="22"/>
  <c r="AF41" i="22"/>
  <c r="T41" i="22" s="1"/>
  <c r="AE6" i="22"/>
  <c r="L9" i="22"/>
  <c r="L8" i="23" s="1"/>
  <c r="AE107" i="22"/>
  <c r="AE63" i="22"/>
  <c r="AE35" i="22"/>
  <c r="AD16" i="22"/>
  <c r="M16" i="22" s="1"/>
  <c r="AC72" i="22"/>
  <c r="H72" i="22" s="1"/>
  <c r="AH15" i="22"/>
  <c r="S93" i="22"/>
  <c r="AC45" i="22"/>
  <c r="H45" i="22" s="1"/>
  <c r="AC30" i="22"/>
  <c r="H30" i="22" s="1"/>
  <c r="AH89" i="22"/>
  <c r="L128" i="22"/>
  <c r="L127" i="23" s="1"/>
  <c r="AE106" i="22"/>
  <c r="AE60" i="22"/>
  <c r="Q60" i="22" s="1"/>
  <c r="AD73" i="22"/>
  <c r="M73" i="22" s="1"/>
  <c r="AH69" i="22"/>
  <c r="AH20" i="22"/>
  <c r="G56" i="22"/>
  <c r="AJ112" i="22"/>
  <c r="AC111" i="22"/>
  <c r="H111" i="22" s="1"/>
  <c r="AH105" i="22"/>
  <c r="AD91" i="22"/>
  <c r="M91" i="22" s="1"/>
  <c r="AF88" i="22"/>
  <c r="T88" i="22" s="1"/>
  <c r="AH75" i="22"/>
  <c r="L127" i="22"/>
  <c r="L126" i="23" s="1"/>
  <c r="L107" i="22"/>
  <c r="L106" i="23" s="1"/>
  <c r="AE128" i="22"/>
  <c r="Q128" i="22" s="1"/>
  <c r="AF131" i="22"/>
  <c r="T131" i="22" s="1"/>
  <c r="AC50" i="22"/>
  <c r="H50" i="22" s="1"/>
  <c r="AH99" i="22"/>
  <c r="G93" i="22"/>
  <c r="L111" i="22"/>
  <c r="L110" i="23" s="1"/>
  <c r="AD104" i="22"/>
  <c r="M104" i="22" s="1"/>
  <c r="AH123" i="22"/>
  <c r="AF86" i="22"/>
  <c r="AF71" i="22"/>
  <c r="AH34" i="22"/>
  <c r="AC105" i="22"/>
  <c r="H105" i="22" s="1"/>
  <c r="AF97" i="22"/>
  <c r="T97" i="22" s="1"/>
  <c r="L123" i="22"/>
  <c r="L122" i="23" s="1"/>
  <c r="L103" i="22"/>
  <c r="L102" i="23" s="1"/>
  <c r="L83" i="22"/>
  <c r="L82" i="23" s="1"/>
  <c r="AC132" i="22"/>
  <c r="H132" i="22" s="1"/>
  <c r="AH24" i="22"/>
  <c r="AF111" i="22"/>
  <c r="AF43" i="22"/>
  <c r="L66" i="22"/>
  <c r="L65" i="23" s="1"/>
  <c r="AE79" i="22"/>
  <c r="AE127" i="22"/>
  <c r="AD63" i="22"/>
  <c r="M63" i="22" s="1"/>
  <c r="L90" i="22"/>
  <c r="L89" i="23" s="1"/>
  <c r="G55" i="22"/>
  <c r="P40" i="22"/>
  <c r="G51" i="22"/>
  <c r="AJ21" i="22"/>
  <c r="S107" i="22"/>
  <c r="L110" i="22"/>
  <c r="L109" i="23" s="1"/>
  <c r="AD84" i="22"/>
  <c r="M84" i="22" s="1"/>
  <c r="AD43" i="22"/>
  <c r="P38" i="22"/>
  <c r="AC29" i="22"/>
  <c r="H29" i="22" s="1"/>
  <c r="AH70" i="22"/>
  <c r="AF33" i="22"/>
  <c r="T33" i="22" s="1"/>
  <c r="AD124" i="22"/>
  <c r="M124" i="22" s="1"/>
  <c r="AC21" i="22"/>
  <c r="H21" i="22" s="1"/>
  <c r="V139" i="22"/>
  <c r="AF47" i="22"/>
  <c r="T47" i="22" s="1"/>
  <c r="AC43" i="22"/>
  <c r="H43" i="22" s="1"/>
  <c r="AH132" i="22"/>
  <c r="L51" i="22"/>
  <c r="L50" i="23" s="1"/>
  <c r="AH100" i="22"/>
  <c r="G113" i="22"/>
  <c r="G90" i="22"/>
  <c r="G5" i="22"/>
  <c r="AE33" i="22"/>
  <c r="AH23" i="22"/>
  <c r="S69" i="22"/>
  <c r="AF59" i="22"/>
  <c r="L101" i="22"/>
  <c r="L100" i="23" s="1"/>
  <c r="L81" i="22"/>
  <c r="L80" i="23" s="1"/>
  <c r="L61" i="22"/>
  <c r="L60" i="23" s="1"/>
  <c r="AH113" i="22"/>
  <c r="AE49" i="22"/>
  <c r="AH129" i="22"/>
  <c r="P127" i="22"/>
  <c r="AF124" i="22"/>
  <c r="G112" i="22"/>
  <c r="AJ85" i="22"/>
  <c r="AJ45" i="22"/>
  <c r="AH126" i="22"/>
  <c r="AH109" i="22"/>
  <c r="AC54" i="22"/>
  <c r="H54" i="22" s="1"/>
  <c r="AC13" i="22"/>
  <c r="H13" i="22" s="1"/>
  <c r="AH120" i="22"/>
  <c r="AH50" i="22"/>
  <c r="L60" i="22"/>
  <c r="L59" i="23" s="1"/>
  <c r="L40" i="22"/>
  <c r="L39" i="23" s="1"/>
  <c r="AE123" i="22"/>
  <c r="AE48" i="22"/>
  <c r="AF115" i="22"/>
  <c r="T115" i="22" s="1"/>
  <c r="AJ118" i="22"/>
  <c r="AJ58" i="22"/>
  <c r="AJ38" i="22"/>
  <c r="AJ18" i="22"/>
  <c r="AJ124" i="22"/>
  <c r="AJ104" i="22"/>
  <c r="AJ24" i="22"/>
  <c r="AC48" i="22"/>
  <c r="H48" i="22" s="1"/>
  <c r="AH119" i="22"/>
  <c r="AH84" i="22"/>
  <c r="L39" i="22"/>
  <c r="L38" i="23" s="1"/>
  <c r="AD114" i="22"/>
  <c r="M114" i="22" s="1"/>
  <c r="AF44" i="22"/>
  <c r="AH108" i="22"/>
  <c r="G130" i="22"/>
  <c r="AJ97" i="22"/>
  <c r="AJ77" i="22"/>
  <c r="AJ57" i="22"/>
  <c r="AJ37" i="22"/>
  <c r="AJ16" i="22"/>
  <c r="AJ123" i="22"/>
  <c r="AJ103" i="22"/>
  <c r="AJ23" i="22"/>
  <c r="AE89" i="22"/>
  <c r="Q89" i="22" s="1"/>
  <c r="L53" i="22"/>
  <c r="L52" i="23" s="1"/>
  <c r="AE37" i="22"/>
  <c r="S96" i="22"/>
  <c r="AH83" i="22"/>
  <c r="AH66" i="22"/>
  <c r="AE97" i="22"/>
  <c r="AE46" i="22"/>
  <c r="AD111" i="22"/>
  <c r="M111" i="22" s="1"/>
  <c r="AC99" i="22"/>
  <c r="H99" i="22" s="1"/>
  <c r="AH60" i="22"/>
  <c r="S115" i="22"/>
  <c r="G129" i="22"/>
  <c r="G26" i="22"/>
  <c r="G6" i="22"/>
  <c r="AJ116" i="22"/>
  <c r="AJ76" i="22"/>
  <c r="AJ15" i="22"/>
  <c r="AJ102" i="22"/>
  <c r="AJ42" i="22"/>
  <c r="P102" i="22"/>
  <c r="AD72" i="22"/>
  <c r="M72" i="22" s="1"/>
  <c r="AE62" i="22"/>
  <c r="AH22" i="22"/>
  <c r="AH82" i="22"/>
  <c r="AF28" i="22"/>
  <c r="AF110" i="22"/>
  <c r="S130" i="22"/>
  <c r="AH55" i="22"/>
  <c r="G107" i="22"/>
  <c r="G85" i="22"/>
  <c r="G45" i="22"/>
  <c r="AJ75" i="22"/>
  <c r="AJ35" i="22"/>
  <c r="AJ13" i="22"/>
  <c r="S21" i="22"/>
  <c r="G108" i="22"/>
  <c r="AC47" i="22"/>
  <c r="H47" i="22" s="1"/>
  <c r="AC27" i="22"/>
  <c r="H27" i="22" s="1"/>
  <c r="AF27" i="22"/>
  <c r="AC98" i="22"/>
  <c r="H98" i="22" s="1"/>
  <c r="AF76" i="22"/>
  <c r="T76" i="22" s="1"/>
  <c r="AB134" i="22"/>
  <c r="AE45" i="22"/>
  <c r="AE113" i="22"/>
  <c r="AC10" i="22"/>
  <c r="L56" i="22"/>
  <c r="L55" i="23" s="1"/>
  <c r="G44" i="22"/>
  <c r="AJ5" i="22"/>
  <c r="AJ114" i="22"/>
  <c r="AJ34" i="22"/>
  <c r="AJ100" i="22"/>
  <c r="AJ40" i="22"/>
  <c r="AJ20" i="22"/>
  <c r="AC115" i="22"/>
  <c r="H115" i="22" s="1"/>
  <c r="AH41" i="22"/>
  <c r="AH115" i="22"/>
  <c r="AF80" i="22"/>
  <c r="T80" i="22" s="1"/>
  <c r="S47" i="22"/>
  <c r="AF26" i="22"/>
  <c r="AH112" i="22"/>
  <c r="AC96" i="22"/>
  <c r="H96" i="22" s="1"/>
  <c r="AC16" i="22"/>
  <c r="H16" i="22" s="1"/>
  <c r="AE31" i="22"/>
  <c r="L30" i="22"/>
  <c r="L29" i="23" s="1"/>
  <c r="AF105" i="22"/>
  <c r="L5" i="22"/>
  <c r="L4" i="23" s="1"/>
  <c r="AE30" i="22"/>
  <c r="AF63" i="22"/>
  <c r="T63" i="22" s="1"/>
  <c r="G31" i="22"/>
  <c r="AJ129" i="22"/>
  <c r="AE85" i="22"/>
  <c r="AC106" i="22"/>
  <c r="H106" i="22" s="1"/>
  <c r="L64" i="22"/>
  <c r="L63" i="23" s="1"/>
  <c r="L44" i="22"/>
  <c r="L43" i="23" s="1"/>
  <c r="L24" i="22"/>
  <c r="L23" i="23" s="1"/>
  <c r="AE43" i="22"/>
  <c r="AC7" i="22"/>
  <c r="G126" i="22"/>
  <c r="G105" i="22"/>
  <c r="S5" i="22"/>
  <c r="AJ113" i="22"/>
  <c r="S79" i="22"/>
  <c r="AC114" i="22"/>
  <c r="H114" i="22" s="1"/>
  <c r="AD88" i="22"/>
  <c r="M88" i="22" s="1"/>
  <c r="AD82" i="22"/>
  <c r="M82" i="22" s="1"/>
  <c r="AC77" i="22"/>
  <c r="H77" i="22" s="1"/>
  <c r="AE93" i="22"/>
  <c r="P21" i="18"/>
  <c r="Z21" i="18" s="1"/>
  <c r="H37" i="17"/>
  <c r="G46" i="22"/>
  <c r="G72" i="22"/>
  <c r="G37" i="22"/>
  <c r="G17" i="22"/>
  <c r="G12" i="22"/>
  <c r="G88" i="22"/>
  <c r="G21" i="22"/>
  <c r="N23" i="18"/>
  <c r="R23" i="18" s="1"/>
  <c r="L37" i="18"/>
  <c r="AC37" i="18" s="1"/>
  <c r="N69" i="18"/>
  <c r="R69" i="18" s="1"/>
  <c r="AE139" i="21"/>
  <c r="D51" i="17" s="1"/>
  <c r="L85" i="18"/>
  <c r="AC85" i="18" s="1"/>
  <c r="N95" i="18"/>
  <c r="R95" i="18" s="1"/>
  <c r="M85" i="18"/>
  <c r="Q85" i="18" s="1"/>
  <c r="AE135" i="21"/>
  <c r="G19" i="22"/>
  <c r="M6" i="18"/>
  <c r="M125" i="18"/>
  <c r="L28" i="18"/>
  <c r="AC28" i="18" s="1"/>
  <c r="L100" i="18"/>
  <c r="AC100" i="18" s="1"/>
  <c r="G125" i="22"/>
  <c r="G80" i="22"/>
  <c r="K68" i="17"/>
  <c r="Q95" i="18"/>
  <c r="J49" i="17"/>
  <c r="L44" i="18"/>
  <c r="AC44" i="18" s="1"/>
  <c r="L54" i="18"/>
  <c r="P54" i="18" s="1"/>
  <c r="U54" i="18" s="1"/>
  <c r="L9" i="18"/>
  <c r="AC9" i="18" s="1"/>
  <c r="M110" i="18"/>
  <c r="Q110" i="18" s="1"/>
  <c r="AD139" i="21"/>
  <c r="C51" i="17" s="1"/>
  <c r="G81" i="22"/>
  <c r="G61" i="22"/>
  <c r="L126" i="18"/>
  <c r="AC126" i="18" s="1"/>
  <c r="N73" i="18"/>
  <c r="L96" i="18"/>
  <c r="AC96" i="18" s="1"/>
  <c r="G124" i="22"/>
  <c r="AL80" i="18"/>
  <c r="AN56" i="18"/>
  <c r="AR56" i="18" s="1"/>
  <c r="AL42" i="18"/>
  <c r="M19" i="18"/>
  <c r="Q19" i="18" s="1"/>
  <c r="N29" i="18"/>
  <c r="N88" i="18"/>
  <c r="N101" i="18"/>
  <c r="M116" i="18"/>
  <c r="N120" i="18"/>
  <c r="G98" i="22"/>
  <c r="AL76" i="18"/>
  <c r="AL8" i="18"/>
  <c r="K39" i="17"/>
  <c r="N60" i="18"/>
  <c r="M70" i="18"/>
  <c r="Q70" i="18" s="1"/>
  <c r="L104" i="18"/>
  <c r="AC104" i="18" s="1"/>
  <c r="N129" i="18"/>
  <c r="R129" i="18" s="1"/>
  <c r="J39" i="17"/>
  <c r="L95" i="18"/>
  <c r="AC95" i="18" s="1"/>
  <c r="G96" i="22"/>
  <c r="G34" i="22"/>
  <c r="AN125" i="18"/>
  <c r="AM112" i="18"/>
  <c r="AM97" i="18"/>
  <c r="AM94" i="18"/>
  <c r="AM65" i="18"/>
  <c r="AQ65" i="18" s="1"/>
  <c r="AN53" i="18"/>
  <c r="AN50" i="18"/>
  <c r="AR50" i="18" s="1"/>
  <c r="AL21" i="18"/>
  <c r="N61" i="18"/>
  <c r="R61" i="18" s="1"/>
  <c r="M104" i="18"/>
  <c r="Q104" i="18" s="1"/>
  <c r="L117" i="18"/>
  <c r="AC117" i="18" s="1"/>
  <c r="N93" i="18"/>
  <c r="AN81" i="18"/>
  <c r="AL56" i="18"/>
  <c r="AM30" i="18"/>
  <c r="AQ30" i="18" s="1"/>
  <c r="G120" i="22"/>
  <c r="H38" i="17"/>
  <c r="R99" i="18"/>
  <c r="M123" i="18"/>
  <c r="R11" i="18"/>
  <c r="N31" i="18"/>
  <c r="G38" i="22"/>
  <c r="G18" i="22"/>
  <c r="AL116" i="18"/>
  <c r="AP116" i="18" s="1"/>
  <c r="AM9" i="18"/>
  <c r="L32" i="18"/>
  <c r="AC32" i="18" s="1"/>
  <c r="L79" i="18"/>
  <c r="AC79" i="18" s="1"/>
  <c r="M98" i="18"/>
  <c r="M66" i="18"/>
  <c r="Q66" i="18" s="1"/>
  <c r="Q10" i="18"/>
  <c r="G63" i="22"/>
  <c r="AM132" i="18"/>
  <c r="AQ132" i="18" s="1"/>
  <c r="AL129" i="18"/>
  <c r="AL81" i="18"/>
  <c r="AP81" i="18" s="1"/>
  <c r="AL50" i="18"/>
  <c r="AN28" i="18"/>
  <c r="AR28" i="18" s="1"/>
  <c r="AN19" i="18"/>
  <c r="N63" i="18"/>
  <c r="M64" i="18"/>
  <c r="M22" i="18"/>
  <c r="G58" i="22"/>
  <c r="AM113" i="18"/>
  <c r="AM57" i="18"/>
  <c r="AQ57" i="18" s="1"/>
  <c r="AN44" i="18"/>
  <c r="AN13" i="18"/>
  <c r="AR13" i="18" s="1"/>
  <c r="S86" i="22"/>
  <c r="S106" i="22"/>
  <c r="J63" i="18"/>
  <c r="I120" i="18"/>
  <c r="AA120" i="18" s="1"/>
  <c r="P56" i="22"/>
  <c r="J46" i="18"/>
  <c r="K63" i="18"/>
  <c r="I87" i="18"/>
  <c r="AA87" i="18" s="1"/>
  <c r="P95" i="22"/>
  <c r="S65" i="22"/>
  <c r="K23" i="17"/>
  <c r="K26" i="17" s="1"/>
  <c r="AJ106" i="22"/>
  <c r="R124" i="18"/>
  <c r="I19" i="18"/>
  <c r="AA19" i="18" s="1"/>
  <c r="K90" i="18"/>
  <c r="AA137" i="20"/>
  <c r="I46" i="18"/>
  <c r="AA46" i="18" s="1"/>
  <c r="R110" i="18"/>
  <c r="R118" i="18"/>
  <c r="J39" i="18"/>
  <c r="Q39" i="18" s="1"/>
  <c r="I43" i="18"/>
  <c r="AA43" i="18" s="1"/>
  <c r="K46" i="18"/>
  <c r="R46" i="18" s="1"/>
  <c r="J107" i="18"/>
  <c r="AJ132" i="22"/>
  <c r="AJ92" i="22"/>
  <c r="AJ73" i="22"/>
  <c r="AJ53" i="22"/>
  <c r="AI128" i="18"/>
  <c r="AI110" i="18"/>
  <c r="AK104" i="18"/>
  <c r="AI97" i="18"/>
  <c r="AJ54" i="18"/>
  <c r="AQ54" i="18" s="1"/>
  <c r="AK51" i="18"/>
  <c r="AK34" i="18"/>
  <c r="AR34" i="18" s="1"/>
  <c r="AJ17" i="18"/>
  <c r="J20" i="18"/>
  <c r="J64" i="18"/>
  <c r="J75" i="18"/>
  <c r="K83" i="18"/>
  <c r="R83" i="18" s="1"/>
  <c r="I100" i="18"/>
  <c r="AA100" i="18" s="1"/>
  <c r="J23" i="17"/>
  <c r="J26" i="17" s="1"/>
  <c r="J124" i="18"/>
  <c r="AJ96" i="22"/>
  <c r="AI104" i="18"/>
  <c r="AP104" i="18" s="1"/>
  <c r="AI101" i="18"/>
  <c r="AJ98" i="18"/>
  <c r="AQ98" i="18" s="1"/>
  <c r="AI84" i="18"/>
  <c r="AK81" i="18"/>
  <c r="AK61" i="18"/>
  <c r="AR61" i="18" s="1"/>
  <c r="AI51" i="18"/>
  <c r="AK18" i="18"/>
  <c r="K20" i="18"/>
  <c r="J24" i="18"/>
  <c r="K40" i="18"/>
  <c r="I72" i="18"/>
  <c r="AA72" i="18" s="1"/>
  <c r="AA138" i="20"/>
  <c r="AJ68" i="22"/>
  <c r="AJ95" i="22"/>
  <c r="Q43" i="18"/>
  <c r="K24" i="18"/>
  <c r="J72" i="18"/>
  <c r="K100" i="18"/>
  <c r="AJ74" i="22"/>
  <c r="AJ54" i="22"/>
  <c r="R42" i="18"/>
  <c r="I69" i="18"/>
  <c r="AA69" i="18" s="1"/>
  <c r="AJ125" i="22"/>
  <c r="AJ105" i="22"/>
  <c r="AJ46" i="22"/>
  <c r="P111" i="22"/>
  <c r="P30" i="22"/>
  <c r="AK105" i="18"/>
  <c r="AR105" i="18" s="1"/>
  <c r="AK68" i="18"/>
  <c r="AJ117" i="22"/>
  <c r="AJ56" i="22"/>
  <c r="K17" i="18"/>
  <c r="J69" i="18"/>
  <c r="Q69" i="18" s="1"/>
  <c r="J84" i="18"/>
  <c r="I9" i="18"/>
  <c r="Q101" i="18"/>
  <c r="AR37" i="18"/>
  <c r="K84" i="18"/>
  <c r="R84" i="18" s="1"/>
  <c r="AJ64" i="22"/>
  <c r="AJ123" i="18"/>
  <c r="AQ123" i="18" s="1"/>
  <c r="AJ68" i="18"/>
  <c r="AQ68" i="18" s="1"/>
  <c r="Q51" i="18"/>
  <c r="I23" i="17"/>
  <c r="I47" i="17" s="1"/>
  <c r="P59" i="22"/>
  <c r="K9" i="18"/>
  <c r="J76" i="18"/>
  <c r="J106" i="18"/>
  <c r="I123" i="18"/>
  <c r="AA123" i="18" s="1"/>
  <c r="J132" i="18"/>
  <c r="R108" i="18"/>
  <c r="J13" i="18"/>
  <c r="Q13" i="18" s="1"/>
  <c r="J29" i="18"/>
  <c r="J73" i="18"/>
  <c r="Q73" i="18" s="1"/>
  <c r="K101" i="18"/>
  <c r="K132" i="18"/>
  <c r="R132" i="18" s="1"/>
  <c r="J90" i="18"/>
  <c r="P110" i="22"/>
  <c r="AI68" i="18"/>
  <c r="AI38" i="18"/>
  <c r="AI31" i="18"/>
  <c r="I75" i="18"/>
  <c r="AA75" i="18" s="1"/>
  <c r="S103" i="22"/>
  <c r="R127" i="18"/>
  <c r="K39" i="18"/>
  <c r="R39" i="18" s="1"/>
  <c r="AJ10" i="22"/>
  <c r="AJ79" i="22"/>
  <c r="AJ19" i="22"/>
  <c r="R38" i="18"/>
  <c r="AJ9" i="22"/>
  <c r="AJ98" i="22"/>
  <c r="AJ78" i="22"/>
  <c r="K36" i="18"/>
  <c r="K113" i="18"/>
  <c r="R113" i="18" s="1"/>
  <c r="I17" i="18"/>
  <c r="AA17" i="18" s="1"/>
  <c r="R106" i="18"/>
  <c r="K13" i="18"/>
  <c r="R13" i="18" s="1"/>
  <c r="K21" i="18"/>
  <c r="R21" i="18" s="1"/>
  <c r="K29" i="18"/>
  <c r="AJ101" i="22"/>
  <c r="P89" i="18"/>
  <c r="U89" i="18" s="1"/>
  <c r="AJ119" i="22"/>
  <c r="H13" i="17"/>
  <c r="R71" i="18"/>
  <c r="L109" i="22"/>
  <c r="L108" i="23" s="1"/>
  <c r="R67" i="18"/>
  <c r="AQ38" i="18"/>
  <c r="L65" i="22"/>
  <c r="L64" i="23" s="1"/>
  <c r="Q120" i="18"/>
  <c r="L69" i="22"/>
  <c r="L68" i="23" s="1"/>
  <c r="AR120" i="18"/>
  <c r="Y39" i="18"/>
  <c r="R6" i="18"/>
  <c r="H9" i="18"/>
  <c r="W139" i="19"/>
  <c r="C39" i="17" s="1"/>
  <c r="F35" i="18"/>
  <c r="Y35" i="18" s="1"/>
  <c r="H28" i="18"/>
  <c r="R28" i="18" s="1"/>
  <c r="F36" i="18"/>
  <c r="Y36" i="18" s="1"/>
  <c r="G97" i="18"/>
  <c r="L80" i="22"/>
  <c r="L79" i="23" s="1"/>
  <c r="H76" i="18"/>
  <c r="R76" i="18" s="1"/>
  <c r="H17" i="18"/>
  <c r="F132" i="18"/>
  <c r="Y132" i="18" s="1"/>
  <c r="I59" i="17"/>
  <c r="I63" i="17" s="1"/>
  <c r="AF121" i="18"/>
  <c r="AG112" i="18"/>
  <c r="AH101" i="18"/>
  <c r="AR101" i="18" s="1"/>
  <c r="AG94" i="18"/>
  <c r="AG59" i="18"/>
  <c r="AF55" i="18"/>
  <c r="AP55" i="18" s="1"/>
  <c r="AH52" i="18"/>
  <c r="AH40" i="18"/>
  <c r="AR40" i="18" s="1"/>
  <c r="AH33" i="18"/>
  <c r="AR33" i="18" s="1"/>
  <c r="AG18" i="18"/>
  <c r="F85" i="18"/>
  <c r="F72" i="18"/>
  <c r="Y72" i="18" s="1"/>
  <c r="L48" i="22"/>
  <c r="L47" i="23" s="1"/>
  <c r="L23" i="22"/>
  <c r="L22" i="23" s="1"/>
  <c r="AG15" i="18"/>
  <c r="Y89" i="18"/>
  <c r="G25" i="18"/>
  <c r="G65" i="18"/>
  <c r="Q65" i="18" s="1"/>
  <c r="F100" i="18"/>
  <c r="Y100" i="18" s="1"/>
  <c r="Q12" i="18"/>
  <c r="AH115" i="18"/>
  <c r="AG114" i="18"/>
  <c r="AH79" i="18"/>
  <c r="AF26" i="18"/>
  <c r="L104" i="22"/>
  <c r="L103" i="23" s="1"/>
  <c r="V139" i="19"/>
  <c r="H14" i="17"/>
  <c r="R126" i="18"/>
  <c r="L67" i="22"/>
  <c r="L66" i="23" s="1"/>
  <c r="L27" i="22"/>
  <c r="L26" i="23" s="1"/>
  <c r="P124" i="18"/>
  <c r="V124" i="18" s="1"/>
  <c r="AG115" i="18"/>
  <c r="AG79" i="18"/>
  <c r="AF71" i="18"/>
  <c r="AF67" i="18"/>
  <c r="AH38" i="18"/>
  <c r="AR38" i="18" s="1"/>
  <c r="F80" i="18"/>
  <c r="Y80" i="18" s="1"/>
  <c r="AG126" i="18"/>
  <c r="AH84" i="18"/>
  <c r="AR84" i="18" s="1"/>
  <c r="AF75" i="18"/>
  <c r="I49" i="17"/>
  <c r="P76" i="18"/>
  <c r="Z76" i="18" s="1"/>
  <c r="G54" i="18"/>
  <c r="H107" i="18"/>
  <c r="P81" i="18"/>
  <c r="AB81" i="18" s="1"/>
  <c r="L100" i="22"/>
  <c r="L99" i="23" s="1"/>
  <c r="H5" i="18"/>
  <c r="G124" i="18"/>
  <c r="Q16" i="18"/>
  <c r="X139" i="19"/>
  <c r="D39" i="17" s="1"/>
  <c r="H73" i="18"/>
  <c r="L87" i="22"/>
  <c r="L86" i="23" s="1"/>
  <c r="L26" i="22"/>
  <c r="L25" i="23" s="1"/>
  <c r="G61" i="18"/>
  <c r="F68" i="18"/>
  <c r="Y68" i="18" s="1"/>
  <c r="L120" i="22"/>
  <c r="AF131" i="18"/>
  <c r="AF120" i="18"/>
  <c r="AF106" i="18"/>
  <c r="AG96" i="18"/>
  <c r="P10" i="18"/>
  <c r="Q128" i="18"/>
  <c r="R79" i="18"/>
  <c r="Q47" i="18"/>
  <c r="Q15" i="18"/>
  <c r="R81" i="18"/>
  <c r="Q9" i="18"/>
  <c r="R86" i="18"/>
  <c r="Q127" i="18"/>
  <c r="AP83" i="18"/>
  <c r="Q83" i="18"/>
  <c r="AQ108" i="18"/>
  <c r="AP37" i="18"/>
  <c r="R70" i="18"/>
  <c r="R44" i="18"/>
  <c r="Q113" i="18"/>
  <c r="AP99" i="18"/>
  <c r="R104" i="18"/>
  <c r="AQ36" i="18"/>
  <c r="R12" i="18"/>
  <c r="R18" i="18"/>
  <c r="P61" i="18"/>
  <c r="Z61" i="18" s="1"/>
  <c r="R130" i="18"/>
  <c r="AP27" i="18"/>
  <c r="AE91" i="23"/>
  <c r="AB91" i="23"/>
  <c r="AH91" i="23"/>
  <c r="AH68" i="23"/>
  <c r="AB68" i="23"/>
  <c r="AE68" i="23"/>
  <c r="L297" i="1"/>
  <c r="P297" i="1"/>
  <c r="AE131" i="22"/>
  <c r="AH122" i="22"/>
  <c r="AE122" i="22"/>
  <c r="AD99" i="22"/>
  <c r="M99" i="22" s="1"/>
  <c r="L99" i="22"/>
  <c r="L98" i="23" s="1"/>
  <c r="G82" i="22"/>
  <c r="W141" i="22"/>
  <c r="N294" i="1"/>
  <c r="N295" i="1"/>
  <c r="N292" i="1"/>
  <c r="N297" i="1"/>
  <c r="N293" i="1"/>
  <c r="AD103" i="23" s="1"/>
  <c r="N296" i="1"/>
  <c r="O295" i="1"/>
  <c r="O294" i="1"/>
  <c r="O297" i="1"/>
  <c r="G9" i="22"/>
  <c r="H8" i="23" s="1"/>
  <c r="AC9" i="22"/>
  <c r="H9" i="22" s="1"/>
  <c r="S72" i="22"/>
  <c r="AH72" i="22"/>
  <c r="AF72" i="22"/>
  <c r="T72" i="22" s="1"/>
  <c r="AH58" i="22"/>
  <c r="P58" i="22"/>
  <c r="AE58" i="22"/>
  <c r="L33" i="22"/>
  <c r="L32" i="23" s="1"/>
  <c r="AD33" i="22"/>
  <c r="M33" i="22" s="1"/>
  <c r="AH28" i="22"/>
  <c r="AE28" i="22"/>
  <c r="Y152" i="22"/>
  <c r="AH8" i="22"/>
  <c r="AE8" i="22"/>
  <c r="AC38" i="22"/>
  <c r="H38" i="22" s="1"/>
  <c r="AH73" i="22"/>
  <c r="AF73" i="22"/>
  <c r="W139" i="22"/>
  <c r="W150" i="22"/>
  <c r="AC14" i="22"/>
  <c r="H14" i="22" s="1"/>
  <c r="S35" i="22"/>
  <c r="AH35" i="22"/>
  <c r="AH90" i="22"/>
  <c r="AE90" i="22"/>
  <c r="AH102" i="22"/>
  <c r="AF102" i="22"/>
  <c r="AC33" i="22"/>
  <c r="H33" i="22" s="1"/>
  <c r="G33" i="22"/>
  <c r="AD28" i="22"/>
  <c r="M28" i="22" s="1"/>
  <c r="L28" i="22"/>
  <c r="L27" i="23" s="1"/>
  <c r="X141" i="22"/>
  <c r="AH51" i="22"/>
  <c r="S51" i="22"/>
  <c r="AF123" i="22"/>
  <c r="AH27" i="22"/>
  <c r="P27" i="22"/>
  <c r="AE27" i="22"/>
  <c r="AK27" i="22" s="1"/>
  <c r="AC8" i="22"/>
  <c r="H8" i="22" s="1"/>
  <c r="W134" i="22"/>
  <c r="W152" i="22"/>
  <c r="AF85" i="22"/>
  <c r="AH85" i="22"/>
  <c r="S85" i="22"/>
  <c r="G293" i="1"/>
  <c r="Y139" i="22"/>
  <c r="L47" i="22"/>
  <c r="L46" i="23" s="1"/>
  <c r="AD47" i="22"/>
  <c r="M47" i="22" s="1"/>
  <c r="AH32" i="22"/>
  <c r="AH30" i="22"/>
  <c r="Z150" i="22"/>
  <c r="Z139" i="22"/>
  <c r="AH10" i="22"/>
  <c r="L63" i="22"/>
  <c r="L62" i="23" s="1"/>
  <c r="Y141" i="22"/>
  <c r="R292" i="1"/>
  <c r="AH114" i="22"/>
  <c r="AE114" i="22"/>
  <c r="AH77" i="22"/>
  <c r="P77" i="22"/>
  <c r="AD32" i="22"/>
  <c r="M32" i="22" s="1"/>
  <c r="AH17" i="22"/>
  <c r="AH7" i="22"/>
  <c r="Y133" i="22"/>
  <c r="AF29" i="22"/>
  <c r="AH29" i="22"/>
  <c r="S9" i="22"/>
  <c r="AH9" i="22"/>
  <c r="L42" i="22"/>
  <c r="L41" i="23" s="1"/>
  <c r="Y140" i="22"/>
  <c r="L77" i="22"/>
  <c r="L76" i="23" s="1"/>
  <c r="AD77" i="22"/>
  <c r="M77" i="22" s="1"/>
  <c r="AH62" i="22"/>
  <c r="AH101" i="22"/>
  <c r="AH71" i="22"/>
  <c r="G114" i="22"/>
  <c r="P28" i="22"/>
  <c r="AH121" i="22"/>
  <c r="AC82" i="22"/>
  <c r="H82" i="22" s="1"/>
  <c r="AE52" i="22"/>
  <c r="AH52" i="22"/>
  <c r="AC32" i="22"/>
  <c r="H32" i="22" s="1"/>
  <c r="G32" i="22"/>
  <c r="X151" i="22"/>
  <c r="X140" i="22"/>
  <c r="L7" i="22"/>
  <c r="L6" i="23" s="1"/>
  <c r="AD48" i="22"/>
  <c r="M48" i="22" s="1"/>
  <c r="L41" i="22"/>
  <c r="L40" i="23" s="1"/>
  <c r="AH86" i="22"/>
  <c r="AH36" i="22"/>
  <c r="AF32" i="22"/>
  <c r="AD27" i="22"/>
  <c r="M27" i="22" s="1"/>
  <c r="X150" i="22"/>
  <c r="AD22" i="22"/>
  <c r="M22" i="22" s="1"/>
  <c r="X139" i="22"/>
  <c r="W140" i="22"/>
  <c r="G7" i="22"/>
  <c r="W151" i="22"/>
  <c r="AH64" i="22"/>
  <c r="S64" i="22"/>
  <c r="Z140" i="22"/>
  <c r="Z133" i="22"/>
  <c r="AF54" i="22"/>
  <c r="S33" i="22"/>
  <c r="AC100" i="22"/>
  <c r="H100" i="22" s="1"/>
  <c r="AH26" i="22"/>
  <c r="AE26" i="22"/>
  <c r="AC22" i="22"/>
  <c r="H22" i="22" s="1"/>
  <c r="G22" i="22"/>
  <c r="AE17" i="22"/>
  <c r="P91" i="22"/>
  <c r="AH91" i="22"/>
  <c r="AE91" i="22"/>
  <c r="AD46" i="22"/>
  <c r="M46" i="22" s="1"/>
  <c r="L46" i="22"/>
  <c r="L45" i="23" s="1"/>
  <c r="AH16" i="22"/>
  <c r="X152" i="22"/>
  <c r="X133" i="22"/>
  <c r="X134" i="22"/>
  <c r="L6" i="22"/>
  <c r="L5" i="23" s="1"/>
  <c r="G67" i="22"/>
  <c r="G47" i="22"/>
  <c r="G27" i="22"/>
  <c r="L115" i="22"/>
  <c r="L114" i="23" s="1"/>
  <c r="AD115" i="22"/>
  <c r="M115" i="22" s="1"/>
  <c r="AH80" i="22"/>
  <c r="G86" i="22"/>
  <c r="AC75" i="22"/>
  <c r="H75" i="22" s="1"/>
  <c r="G75" i="22"/>
  <c r="AH118" i="22"/>
  <c r="AH98" i="22"/>
  <c r="AH65" i="22"/>
  <c r="G106" i="22"/>
  <c r="AH74" i="22"/>
  <c r="AC66" i="22"/>
  <c r="H66" i="22" s="1"/>
  <c r="AC41" i="22"/>
  <c r="H41" i="22" s="1"/>
  <c r="W133" i="22"/>
  <c r="AE125" i="22"/>
  <c r="AF116" i="22"/>
  <c r="G104" i="22"/>
  <c r="L45" i="22"/>
  <c r="L44" i="23" s="1"/>
  <c r="AD45" i="22"/>
  <c r="M45" i="22" s="1"/>
  <c r="AC31" i="22"/>
  <c r="H31" i="22" s="1"/>
  <c r="AD26" i="22"/>
  <c r="M26" i="22" s="1"/>
  <c r="AF70" i="22"/>
  <c r="Y134" i="22"/>
  <c r="AH5" i="22"/>
  <c r="AC124" i="22"/>
  <c r="H124" i="22" s="1"/>
  <c r="Y150" i="22"/>
  <c r="S119" i="22"/>
  <c r="Z134" i="22"/>
  <c r="Z141" i="22"/>
  <c r="AH103" i="22"/>
  <c r="AH96" i="22"/>
  <c r="G53" i="22"/>
  <c r="P70" i="22"/>
  <c r="AF8" i="22"/>
  <c r="L91" i="22"/>
  <c r="L90" i="23" s="1"/>
  <c r="L71" i="22"/>
  <c r="L70" i="23" s="1"/>
  <c r="S88" i="22"/>
  <c r="AF11" i="22"/>
  <c r="L98" i="22"/>
  <c r="L97" i="23" s="1"/>
  <c r="L58" i="22"/>
  <c r="L57" i="23" s="1"/>
  <c r="L18" i="22"/>
  <c r="L17" i="23" s="1"/>
  <c r="AC88" i="22"/>
  <c r="H88" i="22" s="1"/>
  <c r="AH111" i="22"/>
  <c r="G122" i="22"/>
  <c r="AD50" i="22"/>
  <c r="M50" i="22" s="1"/>
  <c r="AC28" i="22"/>
  <c r="H28" i="22" s="1"/>
  <c r="AF89" i="22"/>
  <c r="AH95" i="22"/>
  <c r="AD113" i="22"/>
  <c r="M113" i="22" s="1"/>
  <c r="AD69" i="22"/>
  <c r="M69" i="22" s="1"/>
  <c r="AF30" i="22"/>
  <c r="G76" i="22"/>
  <c r="AF55" i="22"/>
  <c r="T55" i="22" s="1"/>
  <c r="L54" i="22"/>
  <c r="L53" i="23" s="1"/>
  <c r="L113" i="22"/>
  <c r="L112" i="23" s="1"/>
  <c r="L93" i="22"/>
  <c r="L92" i="23" s="1"/>
  <c r="G117" i="22"/>
  <c r="G54" i="22"/>
  <c r="G16" i="22"/>
  <c r="AC59" i="22"/>
  <c r="H59" i="22" s="1"/>
  <c r="L52" i="22"/>
  <c r="L51" i="23" s="1"/>
  <c r="M294" i="1"/>
  <c r="M295" i="1"/>
  <c r="M292" i="1"/>
  <c r="M296" i="1"/>
  <c r="L296" i="1"/>
  <c r="L293" i="1"/>
  <c r="Q295" i="1"/>
  <c r="Q296" i="1"/>
  <c r="Q293" i="1"/>
  <c r="M293" i="1"/>
  <c r="P295" i="1"/>
  <c r="P292" i="1"/>
  <c r="F297" i="1"/>
  <c r="F294" i="1"/>
  <c r="F292" i="1"/>
  <c r="AD96" i="23" s="1"/>
  <c r="F295" i="1"/>
  <c r="F296" i="1"/>
  <c r="G296" i="1"/>
  <c r="G292" i="1"/>
  <c r="G295" i="1"/>
  <c r="Q294" i="1"/>
  <c r="P294" i="1"/>
  <c r="Q297" i="1"/>
  <c r="R296" i="1"/>
  <c r="R293" i="1"/>
  <c r="R295" i="1"/>
  <c r="P296" i="1"/>
  <c r="L295" i="1"/>
  <c r="R297" i="1"/>
  <c r="Q292" i="1"/>
  <c r="O292" i="1"/>
  <c r="H271" i="1"/>
  <c r="H272" i="1"/>
  <c r="H245" i="1"/>
  <c r="H133" i="1"/>
  <c r="H158" i="1"/>
  <c r="AD92" i="22"/>
  <c r="AC92" i="22"/>
  <c r="H92" i="22" s="1"/>
  <c r="AF92" i="22"/>
  <c r="H162" i="1"/>
  <c r="V133" i="22"/>
  <c r="H231" i="1"/>
  <c r="H228" i="1"/>
  <c r="V134" i="22"/>
  <c r="H275" i="1"/>
  <c r="H248" i="1"/>
  <c r="H255" i="1"/>
  <c r="AE92" i="22"/>
  <c r="H265" i="1"/>
  <c r="H168" i="1"/>
  <c r="O296" i="1"/>
  <c r="H144" i="1"/>
  <c r="H241" i="1"/>
  <c r="H252" i="1"/>
  <c r="H242" i="1"/>
  <c r="H165" i="1"/>
  <c r="H173" i="1"/>
  <c r="H243" i="1"/>
  <c r="H253" i="1"/>
  <c r="L294" i="1"/>
  <c r="AD112" i="22"/>
  <c r="AF112" i="22"/>
  <c r="AC112" i="22"/>
  <c r="H112" i="22" s="1"/>
  <c r="H283" i="1"/>
  <c r="L292" i="1"/>
  <c r="H154" i="1"/>
  <c r="H284" i="1"/>
  <c r="AF53" i="22"/>
  <c r="AD53" i="22"/>
  <c r="M53" i="22" s="1"/>
  <c r="AC53" i="22"/>
  <c r="H53" i="22" s="1"/>
  <c r="AC42" i="22"/>
  <c r="H42" i="22" s="1"/>
  <c r="AF42" i="22"/>
  <c r="AC60" i="22"/>
  <c r="H60" i="22" s="1"/>
  <c r="AD60" i="22"/>
  <c r="M60" i="22" s="1"/>
  <c r="AF60" i="22"/>
  <c r="AD25" i="22"/>
  <c r="M25" i="22" s="1"/>
  <c r="AC25" i="22"/>
  <c r="H25" i="22" s="1"/>
  <c r="G294" i="1"/>
  <c r="AC107" i="22"/>
  <c r="H107" i="22" s="1"/>
  <c r="AF107" i="22"/>
  <c r="T107" i="22" s="1"/>
  <c r="AD107" i="22"/>
  <c r="M107" i="22" s="1"/>
  <c r="AC83" i="22"/>
  <c r="H83" i="22" s="1"/>
  <c r="AF83" i="22"/>
  <c r="AC78" i="22"/>
  <c r="H78" i="22" s="1"/>
  <c r="AF78" i="22"/>
  <c r="AD78" i="22"/>
  <c r="M78" i="22" s="1"/>
  <c r="AE64" i="22"/>
  <c r="AC64" i="22"/>
  <c r="H64" i="22" s="1"/>
  <c r="V140" i="22"/>
  <c r="AF64" i="22"/>
  <c r="AD49" i="22"/>
  <c r="M49" i="22" s="1"/>
  <c r="AF49" i="22"/>
  <c r="AC49" i="22"/>
  <c r="H49" i="22" s="1"/>
  <c r="AD127" i="22"/>
  <c r="M127" i="22" s="1"/>
  <c r="AF127" i="22"/>
  <c r="AC39" i="22"/>
  <c r="H39" i="22" s="1"/>
  <c r="AF39" i="22"/>
  <c r="AF118" i="22"/>
  <c r="AD118" i="22"/>
  <c r="M118" i="22" s="1"/>
  <c r="AC101" i="22"/>
  <c r="H101" i="22" s="1"/>
  <c r="AF101" i="22"/>
  <c r="AD101" i="22"/>
  <c r="M101" i="22" s="1"/>
  <c r="AD68" i="22"/>
  <c r="M68" i="22" s="1"/>
  <c r="AC68" i="22"/>
  <c r="H68" i="22" s="1"/>
  <c r="AC126" i="22"/>
  <c r="H126" i="22" s="1"/>
  <c r="AF126" i="22"/>
  <c r="AD126" i="22"/>
  <c r="AF94" i="22"/>
  <c r="AD94" i="22"/>
  <c r="M94" i="22" s="1"/>
  <c r="AC94" i="22"/>
  <c r="H94" i="22" s="1"/>
  <c r="AD6" i="22"/>
  <c r="M6" i="22" s="1"/>
  <c r="AF6" i="22"/>
  <c r="AF117" i="22"/>
  <c r="AD117" i="22"/>
  <c r="M117" i="22" s="1"/>
  <c r="AD128" i="22"/>
  <c r="M128" i="22" s="1"/>
  <c r="AF128" i="22"/>
  <c r="AC87" i="22"/>
  <c r="H87" i="22" s="1"/>
  <c r="AD87" i="22"/>
  <c r="M87" i="22" s="1"/>
  <c r="AF87" i="22"/>
  <c r="AD5" i="22"/>
  <c r="AC5" i="22"/>
  <c r="AF5" i="22"/>
  <c r="AC125" i="22"/>
  <c r="H125" i="22" s="1"/>
  <c r="AF125" i="22"/>
  <c r="AD125" i="22"/>
  <c r="M125" i="22" s="1"/>
  <c r="AC62" i="22"/>
  <c r="H62" i="22" s="1"/>
  <c r="AF62" i="22"/>
  <c r="AD62" i="22"/>
  <c r="M62" i="22" s="1"/>
  <c r="AC18" i="22"/>
  <c r="H18" i="22" s="1"/>
  <c r="AD18" i="22"/>
  <c r="M18" i="22" s="1"/>
  <c r="AC6" i="22"/>
  <c r="H6" i="22" s="1"/>
  <c r="AC23" i="22"/>
  <c r="H23" i="22" s="1"/>
  <c r="AD23" i="22"/>
  <c r="M23" i="22" s="1"/>
  <c r="AD66" i="22"/>
  <c r="M66" i="22" s="1"/>
  <c r="AC123" i="22"/>
  <c r="H123" i="22" s="1"/>
  <c r="AD24" i="22"/>
  <c r="AC24" i="22"/>
  <c r="AB140" i="22"/>
  <c r="AC70" i="22"/>
  <c r="H70" i="22" s="1"/>
  <c r="AC86" i="22"/>
  <c r="H86" i="22" s="1"/>
  <c r="AD97" i="22"/>
  <c r="M97" i="22" s="1"/>
  <c r="AE75" i="22"/>
  <c r="AF75" i="22"/>
  <c r="AD75" i="22"/>
  <c r="M75" i="22" s="1"/>
  <c r="AC57" i="22"/>
  <c r="H57" i="22" s="1"/>
  <c r="AF57" i="22"/>
  <c r="AD57" i="22"/>
  <c r="AF52" i="22"/>
  <c r="AD52" i="22"/>
  <c r="M52" i="22" s="1"/>
  <c r="AF13" i="22"/>
  <c r="AD13" i="22"/>
  <c r="M13" i="22" s="1"/>
  <c r="AD8" i="22"/>
  <c r="AF104" i="22"/>
  <c r="AC104" i="22"/>
  <c r="H104" i="22" s="1"/>
  <c r="AC80" i="22"/>
  <c r="H80" i="22" s="1"/>
  <c r="AD80" i="22"/>
  <c r="M80" i="22" s="1"/>
  <c r="AC81" i="22"/>
  <c r="H81" i="22" s="1"/>
  <c r="AF81" i="22"/>
  <c r="AI81" i="22" s="1"/>
  <c r="AD81" i="22"/>
  <c r="M81" i="22" s="1"/>
  <c r="AC37" i="22"/>
  <c r="H37" i="22" s="1"/>
  <c r="AF37" i="22"/>
  <c r="AD37" i="22"/>
  <c r="AC103" i="22"/>
  <c r="H103" i="22" s="1"/>
  <c r="AF103" i="22"/>
  <c r="AC36" i="22"/>
  <c r="H36" i="22" s="1"/>
  <c r="AF36" i="22"/>
  <c r="AD36" i="22"/>
  <c r="M36" i="22" s="1"/>
  <c r="AC122" i="22"/>
  <c r="H122" i="22" s="1"/>
  <c r="AF122" i="22"/>
  <c r="AD122" i="22"/>
  <c r="AC58" i="22"/>
  <c r="H58" i="22" s="1"/>
  <c r="AF58" i="22"/>
  <c r="AD58" i="22"/>
  <c r="M58" i="22" s="1"/>
  <c r="AF96" i="22"/>
  <c r="AD96" i="22"/>
  <c r="M96" i="22" s="1"/>
  <c r="AC61" i="22"/>
  <c r="H61" i="22" s="1"/>
  <c r="AF61" i="22"/>
  <c r="AF31" i="22"/>
  <c r="AD31" i="22"/>
  <c r="AC17" i="22"/>
  <c r="H17" i="22" s="1"/>
  <c r="AF17" i="22"/>
  <c r="AC121" i="22"/>
  <c r="H121" i="22" s="1"/>
  <c r="AE121" i="22"/>
  <c r="AF121" i="22"/>
  <c r="AF34" i="22"/>
  <c r="AD34" i="22"/>
  <c r="AC20" i="22"/>
  <c r="H20" i="22" s="1"/>
  <c r="AF20" i="22"/>
  <c r="M297" i="1"/>
  <c r="AF38" i="22"/>
  <c r="AC120" i="22"/>
  <c r="H120" i="22" s="1"/>
  <c r="AF120" i="22"/>
  <c r="AD120" i="22"/>
  <c r="M120" i="22" s="1"/>
  <c r="AF12" i="22"/>
  <c r="AD12" i="22"/>
  <c r="M12" i="22" s="1"/>
  <c r="AD7" i="22"/>
  <c r="AD17" i="22"/>
  <c r="M17" i="22" s="1"/>
  <c r="AC108" i="22"/>
  <c r="H108" i="22" s="1"/>
  <c r="AC102" i="22"/>
  <c r="H102" i="22" s="1"/>
  <c r="AD102" i="22"/>
  <c r="M102" i="22" s="1"/>
  <c r="AC84" i="22"/>
  <c r="H84" i="22" s="1"/>
  <c r="AC79" i="22"/>
  <c r="H79" i="22" s="1"/>
  <c r="AF79" i="22"/>
  <c r="AF74" i="22"/>
  <c r="AD74" i="22"/>
  <c r="M74" i="22" s="1"/>
  <c r="AD65" i="22"/>
  <c r="M65" i="22" s="1"/>
  <c r="AC65" i="22"/>
  <c r="H65" i="22" s="1"/>
  <c r="AC56" i="22"/>
  <c r="H56" i="22" s="1"/>
  <c r="AF56" i="22"/>
  <c r="AC40" i="22"/>
  <c r="H40" i="22" s="1"/>
  <c r="AF40" i="22"/>
  <c r="AE21" i="22"/>
  <c r="AD85" i="22"/>
  <c r="M85" i="22" s="1"/>
  <c r="AC52" i="22"/>
  <c r="H52" i="22" s="1"/>
  <c r="AC128" i="22"/>
  <c r="H128" i="22" s="1"/>
  <c r="AC119" i="22"/>
  <c r="H119" i="22" s="1"/>
  <c r="AF119" i="22"/>
  <c r="AD119" i="22"/>
  <c r="M119" i="22" s="1"/>
  <c r="AF95" i="22"/>
  <c r="AD95" i="22"/>
  <c r="M95" i="22" s="1"/>
  <c r="AC35" i="22"/>
  <c r="H35" i="22" s="1"/>
  <c r="AF35" i="22"/>
  <c r="AD123" i="22"/>
  <c r="M123" i="22" s="1"/>
  <c r="AF82" i="22"/>
  <c r="AD54" i="22"/>
  <c r="M54" i="22" s="1"/>
  <c r="AE76" i="22"/>
  <c r="AD98" i="22"/>
  <c r="M98" i="22" s="1"/>
  <c r="AF100" i="22"/>
  <c r="AF16" i="22"/>
  <c r="AD76" i="22"/>
  <c r="M76" i="22" s="1"/>
  <c r="AF98" i="22"/>
  <c r="F293" i="1"/>
  <c r="AD116" i="22"/>
  <c r="M116" i="22" s="1"/>
  <c r="AD93" i="22"/>
  <c r="M93" i="22" s="1"/>
  <c r="H62" i="17"/>
  <c r="K63" i="17"/>
  <c r="P45" i="18"/>
  <c r="U45" i="18" s="1"/>
  <c r="AC45" i="18"/>
  <c r="P93" i="18"/>
  <c r="AB93" i="18" s="1"/>
  <c r="AC93" i="18"/>
  <c r="AN112" i="18"/>
  <c r="N112" i="18"/>
  <c r="R112" i="18" s="1"/>
  <c r="G14" i="22"/>
  <c r="G30" i="22"/>
  <c r="AL121" i="18"/>
  <c r="L121" i="18"/>
  <c r="L67" i="18"/>
  <c r="AC67" i="18" s="1"/>
  <c r="AL67" i="18"/>
  <c r="F139" i="22"/>
  <c r="M29" i="18"/>
  <c r="AM29" i="18"/>
  <c r="G111" i="22"/>
  <c r="AC130" i="18"/>
  <c r="M53" i="18"/>
  <c r="AM53" i="18"/>
  <c r="N52" i="18"/>
  <c r="R52" i="18" s="1"/>
  <c r="AL101" i="18"/>
  <c r="AN98" i="18"/>
  <c r="AL18" i="18"/>
  <c r="AP18" i="18" s="1"/>
  <c r="L51" i="18"/>
  <c r="AC51" i="18" s="1"/>
  <c r="AL51" i="18"/>
  <c r="G92" i="22"/>
  <c r="AM93" i="18"/>
  <c r="M93" i="18"/>
  <c r="Q93" i="18" s="1"/>
  <c r="G28" i="22"/>
  <c r="L52" i="18"/>
  <c r="AC52" i="18" s="1"/>
  <c r="AC97" i="18"/>
  <c r="P97" i="18"/>
  <c r="U97" i="18" s="1"/>
  <c r="AC72" i="18"/>
  <c r="M131" i="18"/>
  <c r="AM131" i="18"/>
  <c r="AL94" i="18"/>
  <c r="L94" i="18"/>
  <c r="AC94" i="18" s="1"/>
  <c r="AD138" i="21"/>
  <c r="C50" i="17" s="1"/>
  <c r="P11" i="18"/>
  <c r="Z11" i="18" s="1"/>
  <c r="G131" i="22"/>
  <c r="G48" i="22"/>
  <c r="L118" i="18"/>
  <c r="AC118" i="18" s="1"/>
  <c r="AL118" i="18"/>
  <c r="M80" i="18"/>
  <c r="G87" i="22"/>
  <c r="M76" i="18"/>
  <c r="AM76" i="18"/>
  <c r="AQ76" i="18" s="1"/>
  <c r="F141" i="22"/>
  <c r="M81" i="18"/>
  <c r="Q81" i="18" s="1"/>
  <c r="AM81" i="18"/>
  <c r="AQ81" i="18" s="1"/>
  <c r="AL110" i="18"/>
  <c r="L110" i="18"/>
  <c r="AC110" i="18" s="1"/>
  <c r="AL61" i="18"/>
  <c r="L112" i="18"/>
  <c r="AL112" i="18"/>
  <c r="G110" i="22"/>
  <c r="Q48" i="18"/>
  <c r="L40" i="18"/>
  <c r="AC40" i="18" s="1"/>
  <c r="AL40" i="18"/>
  <c r="AC124" i="18"/>
  <c r="N5" i="18"/>
  <c r="AE140" i="21"/>
  <c r="D52" i="17" s="1"/>
  <c r="G115" i="22"/>
  <c r="AM106" i="18"/>
  <c r="AQ106" i="18" s="1"/>
  <c r="AN66" i="18"/>
  <c r="AL65" i="18"/>
  <c r="AP65" i="18" s="1"/>
  <c r="AM62" i="18"/>
  <c r="AN58" i="18"/>
  <c r="AL38" i="18"/>
  <c r="L38" i="18"/>
  <c r="AC38" i="18" s="1"/>
  <c r="AN35" i="18"/>
  <c r="N35" i="18"/>
  <c r="AL26" i="18"/>
  <c r="G73" i="22"/>
  <c r="N36" i="18"/>
  <c r="AN36" i="18"/>
  <c r="AR36" i="18" s="1"/>
  <c r="AL16" i="18"/>
  <c r="L16" i="18"/>
  <c r="AC16" i="18" s="1"/>
  <c r="AM89" i="18"/>
  <c r="M89" i="18"/>
  <c r="N122" i="18"/>
  <c r="R122" i="18" s="1"/>
  <c r="AN17" i="18"/>
  <c r="AR17" i="18" s="1"/>
  <c r="N17" i="18"/>
  <c r="AD140" i="21"/>
  <c r="C52" i="17" s="1"/>
  <c r="N90" i="18"/>
  <c r="AN90" i="18"/>
  <c r="AR90" i="18" s="1"/>
  <c r="AN57" i="18"/>
  <c r="N57" i="18"/>
  <c r="AN10" i="18"/>
  <c r="AE138" i="21"/>
  <c r="D50" i="17" s="1"/>
  <c r="AC138" i="21"/>
  <c r="B50" i="17" s="1"/>
  <c r="L25" i="18"/>
  <c r="AC25" i="18" s="1"/>
  <c r="G71" i="22"/>
  <c r="H36" i="17"/>
  <c r="P98" i="18"/>
  <c r="V98" i="18" s="1"/>
  <c r="AC98" i="18"/>
  <c r="AN71" i="18"/>
  <c r="AM35" i="18"/>
  <c r="N30" i="18"/>
  <c r="AN27" i="18"/>
  <c r="AR27" i="18" s="1"/>
  <c r="L6" i="18"/>
  <c r="AL6" i="18"/>
  <c r="AC140" i="21"/>
  <c r="B52" i="17" s="1"/>
  <c r="AM103" i="18"/>
  <c r="M103" i="18"/>
  <c r="Q103" i="18" s="1"/>
  <c r="G91" i="22"/>
  <c r="AL48" i="18"/>
  <c r="L48" i="18"/>
  <c r="AC48" i="18" s="1"/>
  <c r="AD135" i="21"/>
  <c r="N119" i="18"/>
  <c r="AN119" i="18"/>
  <c r="G10" i="22"/>
  <c r="M60" i="18"/>
  <c r="Q60" i="18" s="1"/>
  <c r="AM60" i="18"/>
  <c r="AM111" i="18"/>
  <c r="M111" i="18"/>
  <c r="Q111" i="18" s="1"/>
  <c r="AN8" i="18"/>
  <c r="N8" i="18"/>
  <c r="AM129" i="18"/>
  <c r="M129" i="18"/>
  <c r="G13" i="22"/>
  <c r="AC135" i="21"/>
  <c r="AM135" i="21" s="1"/>
  <c r="L63" i="18"/>
  <c r="AC63" i="18" s="1"/>
  <c r="AC80" i="18"/>
  <c r="AC139" i="21"/>
  <c r="B51" i="17" s="1"/>
  <c r="AC120" i="18"/>
  <c r="AL111" i="18"/>
  <c r="AC106" i="18"/>
  <c r="P106" i="18"/>
  <c r="AB106" i="18" s="1"/>
  <c r="AN75" i="18"/>
  <c r="AR75" i="18" s="1"/>
  <c r="N75" i="18"/>
  <c r="R75" i="18" s="1"/>
  <c r="AL35" i="18"/>
  <c r="AP35" i="18" s="1"/>
  <c r="M7" i="18"/>
  <c r="AM7" i="18"/>
  <c r="AQ7" i="18" s="1"/>
  <c r="G94" i="22"/>
  <c r="G52" i="22"/>
  <c r="M63" i="18"/>
  <c r="AM63" i="18"/>
  <c r="AQ63" i="18" s="1"/>
  <c r="AN9" i="18"/>
  <c r="AR9" i="18" s="1"/>
  <c r="N9" i="18"/>
  <c r="AC78" i="18"/>
  <c r="P78" i="18"/>
  <c r="AB78" i="18" s="1"/>
  <c r="M105" i="18"/>
  <c r="AM105" i="18"/>
  <c r="AQ105" i="18" s="1"/>
  <c r="G95" i="22"/>
  <c r="AL124" i="18"/>
  <c r="AM75" i="18"/>
  <c r="AQ75" i="18" s="1"/>
  <c r="AN67" i="18"/>
  <c r="AL66" i="18"/>
  <c r="L43" i="18"/>
  <c r="AC43" i="18" s="1"/>
  <c r="AL43" i="18"/>
  <c r="AP43" i="18" s="1"/>
  <c r="Q26" i="18"/>
  <c r="Q57" i="18"/>
  <c r="F134" i="22"/>
  <c r="N55" i="18"/>
  <c r="R55" i="18" s="1"/>
  <c r="F140" i="22"/>
  <c r="G8" i="22"/>
  <c r="Q94" i="18"/>
  <c r="P107" i="18"/>
  <c r="AD107" i="18" s="1"/>
  <c r="AL119" i="18"/>
  <c r="AN83" i="18"/>
  <c r="AM82" i="18"/>
  <c r="AQ82" i="18" s="1"/>
  <c r="AR76" i="18"/>
  <c r="AN42" i="18"/>
  <c r="AR42" i="18" s="1"/>
  <c r="AL36" i="18"/>
  <c r="AP36" i="18" s="1"/>
  <c r="M27" i="18"/>
  <c r="Q27" i="18" s="1"/>
  <c r="Q112" i="18"/>
  <c r="M33" i="18"/>
  <c r="Q33" i="18" s="1"/>
  <c r="AM33" i="18"/>
  <c r="G50" i="22"/>
  <c r="M58" i="18"/>
  <c r="Q58" i="18" s="1"/>
  <c r="AN74" i="18"/>
  <c r="N74" i="18"/>
  <c r="R41" i="18"/>
  <c r="R10" i="18"/>
  <c r="R62" i="18"/>
  <c r="M25" i="18"/>
  <c r="AM120" i="18"/>
  <c r="R114" i="18"/>
  <c r="AM51" i="18"/>
  <c r="AL20" i="18"/>
  <c r="AP20" i="18" s="1"/>
  <c r="AM16" i="18"/>
  <c r="Q23" i="18"/>
  <c r="R82" i="18"/>
  <c r="AL132" i="18"/>
  <c r="AN97" i="18"/>
  <c r="AL88" i="18"/>
  <c r="AP88" i="18" s="1"/>
  <c r="AM12" i="18"/>
  <c r="AQ12" i="18" s="1"/>
  <c r="AN65" i="18"/>
  <c r="AR65" i="18" s="1"/>
  <c r="N65" i="18"/>
  <c r="R65" i="18" s="1"/>
  <c r="P119" i="18"/>
  <c r="Z119" i="18" s="1"/>
  <c r="AQ27" i="18"/>
  <c r="P56" i="18"/>
  <c r="AB56" i="18" s="1"/>
  <c r="R53" i="18"/>
  <c r="AR7" i="18"/>
  <c r="K49" i="17"/>
  <c r="R50" i="18"/>
  <c r="H61" i="17"/>
  <c r="AP28" i="18"/>
  <c r="AR91" i="18"/>
  <c r="AP34" i="18"/>
  <c r="AR92" i="18"/>
  <c r="AR46" i="18"/>
  <c r="AR70" i="18"/>
  <c r="AQ20" i="18"/>
  <c r="AQ11" i="18"/>
  <c r="AR30" i="18"/>
  <c r="AQ56" i="18"/>
  <c r="AA31" i="18"/>
  <c r="P31" i="18"/>
  <c r="V31" i="18" s="1"/>
  <c r="AI122" i="18"/>
  <c r="AP122" i="18" s="1"/>
  <c r="I122" i="18"/>
  <c r="AA103" i="18"/>
  <c r="P103" i="18"/>
  <c r="AD103" i="18" s="1"/>
  <c r="AG109" i="21"/>
  <c r="AA109" i="21"/>
  <c r="S63" i="22"/>
  <c r="AJ63" i="22"/>
  <c r="S23" i="22"/>
  <c r="AA38" i="18"/>
  <c r="AA101" i="18"/>
  <c r="P101" i="18"/>
  <c r="Z101" i="18" s="1"/>
  <c r="P118" i="22"/>
  <c r="I66" i="18"/>
  <c r="AA66" i="18" s="1"/>
  <c r="P59" i="18"/>
  <c r="AA59" i="18"/>
  <c r="AA22" i="18"/>
  <c r="AK111" i="18"/>
  <c r="AR111" i="18" s="1"/>
  <c r="K111" i="18"/>
  <c r="AG129" i="21"/>
  <c r="AA129" i="21"/>
  <c r="U139" i="21"/>
  <c r="AG7" i="21"/>
  <c r="I132" i="18"/>
  <c r="AA132" i="18" s="1"/>
  <c r="AI132" i="18"/>
  <c r="AI118" i="18"/>
  <c r="I118" i="18"/>
  <c r="AA118" i="18" s="1"/>
  <c r="AJ60" i="18"/>
  <c r="AA88" i="21"/>
  <c r="AG88" i="21"/>
  <c r="J32" i="18"/>
  <c r="N138" i="21"/>
  <c r="AA105" i="21"/>
  <c r="AG105" i="21"/>
  <c r="AG23" i="21"/>
  <c r="AA23" i="21"/>
  <c r="U140" i="21"/>
  <c r="AG6" i="21"/>
  <c r="U135" i="21"/>
  <c r="AK72" i="18"/>
  <c r="K72" i="18"/>
  <c r="R72" i="18" s="1"/>
  <c r="R140" i="22"/>
  <c r="S7" i="22"/>
  <c r="AA53" i="18"/>
  <c r="AA36" i="18"/>
  <c r="AJ67" i="18"/>
  <c r="J67" i="18"/>
  <c r="Q67" i="18" s="1"/>
  <c r="R141" i="22"/>
  <c r="K54" i="18"/>
  <c r="R54" i="18" s="1"/>
  <c r="AK54" i="18"/>
  <c r="AA55" i="18"/>
  <c r="AJ103" i="18"/>
  <c r="AK78" i="18"/>
  <c r="AJ77" i="18"/>
  <c r="J22" i="18"/>
  <c r="AJ22" i="18"/>
  <c r="W137" i="20"/>
  <c r="C44" i="17" s="1"/>
  <c r="Q41" i="18"/>
  <c r="AJ80" i="18"/>
  <c r="AQ80" i="18" s="1"/>
  <c r="AK41" i="18"/>
  <c r="AI40" i="18"/>
  <c r="AK15" i="18"/>
  <c r="I95" i="18"/>
  <c r="AA95" i="18" s="1"/>
  <c r="J96" i="18"/>
  <c r="Q96" i="18" s="1"/>
  <c r="AJ96" i="18"/>
  <c r="AI57" i="18"/>
  <c r="I57" i="18"/>
  <c r="I14" i="18"/>
  <c r="V137" i="20"/>
  <c r="AA6" i="18"/>
  <c r="O141" i="22"/>
  <c r="AA43" i="21"/>
  <c r="AJ41" i="18"/>
  <c r="I25" i="18"/>
  <c r="AA25" i="18" s="1"/>
  <c r="AI25" i="18"/>
  <c r="AJ15" i="18"/>
  <c r="O134" i="22"/>
  <c r="J5" i="18"/>
  <c r="W139" i="20"/>
  <c r="C46" i="17" s="1"/>
  <c r="AP100" i="18"/>
  <c r="AJ92" i="18"/>
  <c r="AQ92" i="18" s="1"/>
  <c r="J92" i="18"/>
  <c r="AK59" i="18"/>
  <c r="AI58" i="18"/>
  <c r="AK53" i="18"/>
  <c r="AA51" i="18"/>
  <c r="AI15" i="18"/>
  <c r="AP15" i="18" s="1"/>
  <c r="AA127" i="21"/>
  <c r="J102" i="18"/>
  <c r="AJ102" i="18"/>
  <c r="AQ102" i="18" s="1"/>
  <c r="AJ97" i="18"/>
  <c r="P58" i="18"/>
  <c r="Z58" i="18" s="1"/>
  <c r="AA58" i="18"/>
  <c r="AK26" i="18"/>
  <c r="K26" i="18"/>
  <c r="R26" i="18" s="1"/>
  <c r="P60" i="18"/>
  <c r="AB60" i="18" s="1"/>
  <c r="AA73" i="18"/>
  <c r="AA76" i="18"/>
  <c r="AA119" i="21"/>
  <c r="AA99" i="21"/>
  <c r="AI102" i="18"/>
  <c r="AK60" i="18"/>
  <c r="AR60" i="18" s="1"/>
  <c r="AJ59" i="18"/>
  <c r="AJ53" i="18"/>
  <c r="AA94" i="18"/>
  <c r="S82" i="22"/>
  <c r="AJ22" i="22"/>
  <c r="R139" i="22"/>
  <c r="S6" i="22"/>
  <c r="AJ6" i="22"/>
  <c r="Q126" i="18"/>
  <c r="AA104" i="18"/>
  <c r="AA84" i="18"/>
  <c r="I32" i="18"/>
  <c r="H25" i="17"/>
  <c r="S101" i="22"/>
  <c r="S41" i="22"/>
  <c r="AJ41" i="22"/>
  <c r="AG121" i="21"/>
  <c r="AG81" i="21"/>
  <c r="AK85" i="18"/>
  <c r="K85" i="18"/>
  <c r="R85" i="18" s="1"/>
  <c r="AA77" i="18"/>
  <c r="I13" i="18"/>
  <c r="AI13" i="18"/>
  <c r="X135" i="20"/>
  <c r="K8" i="18"/>
  <c r="X139" i="20"/>
  <c r="D46" i="17" s="1"/>
  <c r="J7" i="18"/>
  <c r="W138" i="20"/>
  <c r="C45" i="17" s="1"/>
  <c r="W135" i="20"/>
  <c r="AP49" i="18"/>
  <c r="AR39" i="18"/>
  <c r="V135" i="20"/>
  <c r="V139" i="20"/>
  <c r="I50" i="18"/>
  <c r="AA50" i="18" s="1"/>
  <c r="AI50" i="18"/>
  <c r="V138" i="20"/>
  <c r="I7" i="18"/>
  <c r="AA33" i="18"/>
  <c r="AK103" i="18"/>
  <c r="AR103" i="18" s="1"/>
  <c r="K103" i="18"/>
  <c r="AQ58" i="18"/>
  <c r="X138" i="20"/>
  <c r="D45" i="17" s="1"/>
  <c r="AG60" i="21"/>
  <c r="AG40" i="21"/>
  <c r="AJ125" i="18"/>
  <c r="J125" i="18"/>
  <c r="AJ120" i="18"/>
  <c r="AI29" i="18"/>
  <c r="AR22" i="18"/>
  <c r="AJ18" i="18"/>
  <c r="O139" i="22"/>
  <c r="AG101" i="21"/>
  <c r="P109" i="22"/>
  <c r="O140" i="22"/>
  <c r="AG19" i="21"/>
  <c r="U138" i="21"/>
  <c r="P91" i="18"/>
  <c r="AK49" i="18"/>
  <c r="AR49" i="18" s="1"/>
  <c r="K49" i="18"/>
  <c r="R49" i="18" s="1"/>
  <c r="S99" i="22"/>
  <c r="AA118" i="21"/>
  <c r="Q31" i="18"/>
  <c r="AJ36" i="22"/>
  <c r="S36" i="22"/>
  <c r="AG18" i="21"/>
  <c r="AA126" i="21"/>
  <c r="AA106" i="21"/>
  <c r="AA26" i="21"/>
  <c r="AP74" i="18"/>
  <c r="AJ49" i="18"/>
  <c r="AJ80" i="22"/>
  <c r="S80" i="22"/>
  <c r="AA84" i="21"/>
  <c r="AJ90" i="22"/>
  <c r="AJ66" i="22"/>
  <c r="P66" i="22"/>
  <c r="AJ55" i="22"/>
  <c r="S55" i="22"/>
  <c r="AG77" i="21"/>
  <c r="AG57" i="21"/>
  <c r="AG37" i="21"/>
  <c r="K139" i="21"/>
  <c r="N135" i="21"/>
  <c r="N140" i="21"/>
  <c r="AG5" i="21"/>
  <c r="AK95" i="18"/>
  <c r="AR93" i="18"/>
  <c r="AK89" i="18"/>
  <c r="AR87" i="18"/>
  <c r="AJ44" i="18"/>
  <c r="AR43" i="18"/>
  <c r="AQ42" i="18"/>
  <c r="AG61" i="21"/>
  <c r="N139" i="21"/>
  <c r="AA12" i="21"/>
  <c r="AI131" i="18"/>
  <c r="I131" i="18"/>
  <c r="AJ101" i="18"/>
  <c r="AR100" i="18"/>
  <c r="AK71" i="18"/>
  <c r="AK64" i="18"/>
  <c r="X137" i="20"/>
  <c r="D44" i="17" s="1"/>
  <c r="K25" i="18"/>
  <c r="AK6" i="18"/>
  <c r="AJ93" i="22"/>
  <c r="AJ32" i="22"/>
  <c r="P32" i="22"/>
  <c r="AA18" i="21"/>
  <c r="AG41" i="21"/>
  <c r="H24" i="17"/>
  <c r="AJ122" i="22"/>
  <c r="AJ84" i="22"/>
  <c r="P84" i="22"/>
  <c r="AJ25" i="22"/>
  <c r="P25" i="22"/>
  <c r="AG35" i="21"/>
  <c r="K140" i="21"/>
  <c r="AG15" i="21"/>
  <c r="AR5" i="18"/>
  <c r="AI121" i="18"/>
  <c r="AK102" i="18"/>
  <c r="AR102" i="18" s="1"/>
  <c r="AK96" i="18"/>
  <c r="AJ50" i="18"/>
  <c r="AJ25" i="18"/>
  <c r="AQ25" i="18" s="1"/>
  <c r="AQ21" i="18"/>
  <c r="P10" i="22"/>
  <c r="AJ121" i="22"/>
  <c r="AJ83" i="22"/>
  <c r="AJ44" i="22"/>
  <c r="P44" i="22"/>
  <c r="K135" i="21"/>
  <c r="K138" i="21"/>
  <c r="AA14" i="21"/>
  <c r="AA62" i="21"/>
  <c r="AA22" i="21"/>
  <c r="AR94" i="18"/>
  <c r="AR24" i="18"/>
  <c r="AJ7" i="22"/>
  <c r="K93" i="18"/>
  <c r="AJ82" i="22"/>
  <c r="AJ43" i="22"/>
  <c r="Q82" i="18"/>
  <c r="AP69" i="18"/>
  <c r="AP52" i="18"/>
  <c r="R33" i="18"/>
  <c r="AP24" i="18"/>
  <c r="Q52" i="18"/>
  <c r="AA60" i="21"/>
  <c r="AA75" i="21"/>
  <c r="AA35" i="21"/>
  <c r="AQ122" i="18"/>
  <c r="AR123" i="18"/>
  <c r="Q114" i="18"/>
  <c r="AP95" i="18"/>
  <c r="AQ88" i="18"/>
  <c r="Q79" i="18"/>
  <c r="AP96" i="18"/>
  <c r="AP7" i="18"/>
  <c r="R32" i="18"/>
  <c r="P47" i="18"/>
  <c r="AR116" i="18"/>
  <c r="P70" i="18"/>
  <c r="U70" i="18" s="1"/>
  <c r="AP63" i="18"/>
  <c r="Q78" i="18"/>
  <c r="P111" i="18"/>
  <c r="AB111" i="18" s="1"/>
  <c r="AR55" i="18"/>
  <c r="AR107" i="18"/>
  <c r="AP105" i="18"/>
  <c r="AQ64" i="18"/>
  <c r="R14" i="18"/>
  <c r="Q40" i="18"/>
  <c r="AQ124" i="18"/>
  <c r="AR117" i="18"/>
  <c r="AP64" i="18"/>
  <c r="AQ55" i="18"/>
  <c r="AP9" i="18"/>
  <c r="H60" i="17"/>
  <c r="J63" i="17"/>
  <c r="J68" i="17"/>
  <c r="I68" i="17"/>
  <c r="AF127" i="18"/>
  <c r="AP127" i="18" s="1"/>
  <c r="W136" i="19"/>
  <c r="AF126" i="21"/>
  <c r="T138" i="21"/>
  <c r="AF10" i="21"/>
  <c r="AA10" i="21"/>
  <c r="Y127" i="18"/>
  <c r="F126" i="18"/>
  <c r="AF126" i="18"/>
  <c r="AP126" i="18" s="1"/>
  <c r="F41" i="18"/>
  <c r="AF41" i="18"/>
  <c r="L62" i="22"/>
  <c r="L61" i="23" s="1"/>
  <c r="AF122" i="21"/>
  <c r="AA122" i="21"/>
  <c r="AA80" i="21"/>
  <c r="AF80" i="21"/>
  <c r="Y118" i="18"/>
  <c r="AH29" i="18"/>
  <c r="AR29" i="18" s="1"/>
  <c r="X140" i="19"/>
  <c r="D40" i="17" s="1"/>
  <c r="H29" i="18"/>
  <c r="X136" i="19"/>
  <c r="P86" i="18"/>
  <c r="Y86" i="18"/>
  <c r="Y62" i="18"/>
  <c r="AA104" i="21"/>
  <c r="AA121" i="21"/>
  <c r="AF101" i="21"/>
  <c r="AA101" i="21"/>
  <c r="AA81" i="21"/>
  <c r="AF81" i="21"/>
  <c r="AF61" i="21"/>
  <c r="AA61" i="21"/>
  <c r="AF41" i="21"/>
  <c r="AF21" i="21"/>
  <c r="AA21" i="21"/>
  <c r="G44" i="18"/>
  <c r="Q44" i="18" s="1"/>
  <c r="AG44" i="18"/>
  <c r="AF97" i="21"/>
  <c r="AA97" i="21"/>
  <c r="AF57" i="21"/>
  <c r="AA57" i="21"/>
  <c r="AF17" i="21"/>
  <c r="AA17" i="21"/>
  <c r="AF76" i="21"/>
  <c r="AA76" i="21"/>
  <c r="AF36" i="21"/>
  <c r="AA36" i="21"/>
  <c r="AF75" i="21"/>
  <c r="M140" i="21"/>
  <c r="M135" i="21"/>
  <c r="AA6" i="21"/>
  <c r="AF6" i="21"/>
  <c r="AG74" i="18"/>
  <c r="AQ74" i="18" s="1"/>
  <c r="G74" i="18"/>
  <c r="L102" i="22"/>
  <c r="L101" i="23" s="1"/>
  <c r="L22" i="22"/>
  <c r="L21" i="23" s="1"/>
  <c r="K139" i="22"/>
  <c r="AF62" i="21"/>
  <c r="AF100" i="21"/>
  <c r="AA100" i="21"/>
  <c r="P26" i="18"/>
  <c r="Y26" i="18"/>
  <c r="AA116" i="21"/>
  <c r="F125" i="18"/>
  <c r="AF125" i="18"/>
  <c r="AG89" i="18"/>
  <c r="G89" i="18"/>
  <c r="W140" i="19"/>
  <c r="C40" i="17" s="1"/>
  <c r="AA102" i="21"/>
  <c r="AF107" i="21"/>
  <c r="AA107" i="21"/>
  <c r="AF87" i="21"/>
  <c r="AA87" i="21"/>
  <c r="AA67" i="21"/>
  <c r="AF67" i="21"/>
  <c r="AF7" i="21"/>
  <c r="T139" i="21"/>
  <c r="AG5" i="18"/>
  <c r="I15" i="17"/>
  <c r="H12" i="17"/>
  <c r="AF56" i="21"/>
  <c r="AA56" i="21"/>
  <c r="AF55" i="21"/>
  <c r="AA55" i="21"/>
  <c r="AF35" i="21"/>
  <c r="Y108" i="18"/>
  <c r="Y71" i="18"/>
  <c r="P71" i="18"/>
  <c r="AH59" i="18"/>
  <c r="H59" i="18"/>
  <c r="R59" i="18" s="1"/>
  <c r="AF82" i="21"/>
  <c r="AA82" i="21"/>
  <c r="F20" i="18"/>
  <c r="V140" i="19"/>
  <c r="Y75" i="18"/>
  <c r="AF120" i="21"/>
  <c r="AA120" i="21"/>
  <c r="AF20" i="21"/>
  <c r="AA20" i="21"/>
  <c r="AA115" i="21"/>
  <c r="AF60" i="21"/>
  <c r="Y70" i="18"/>
  <c r="AA79" i="21"/>
  <c r="AF79" i="21"/>
  <c r="AF59" i="21"/>
  <c r="AA59" i="21"/>
  <c r="AF19" i="21"/>
  <c r="AA19" i="21"/>
  <c r="AA117" i="21"/>
  <c r="AF117" i="21"/>
  <c r="AA77" i="21"/>
  <c r="AF77" i="21"/>
  <c r="AF37" i="21"/>
  <c r="AA37" i="21"/>
  <c r="AA24" i="21"/>
  <c r="AF24" i="21"/>
  <c r="AF96" i="21"/>
  <c r="AA96" i="21"/>
  <c r="AF16" i="21"/>
  <c r="AA16" i="21"/>
  <c r="Y66" i="18"/>
  <c r="AF95" i="21"/>
  <c r="AA95" i="21"/>
  <c r="AF15" i="21"/>
  <c r="AA15" i="21"/>
  <c r="H58" i="18"/>
  <c r="R58" i="18" s="1"/>
  <c r="AH58" i="18"/>
  <c r="AA86" i="21"/>
  <c r="AF86" i="21"/>
  <c r="J139" i="21"/>
  <c r="L82" i="22"/>
  <c r="L81" i="23" s="1"/>
  <c r="AF42" i="21"/>
  <c r="M139" i="21"/>
  <c r="AA42" i="21"/>
  <c r="F25" i="18"/>
  <c r="V138" i="19"/>
  <c r="G75" i="18"/>
  <c r="G125" i="18"/>
  <c r="AG125" i="18"/>
  <c r="AF40" i="18"/>
  <c r="F40" i="18"/>
  <c r="Y37" i="18"/>
  <c r="P37" i="18"/>
  <c r="AF98" i="21"/>
  <c r="AA98" i="21"/>
  <c r="AF78" i="21"/>
  <c r="AA78" i="21"/>
  <c r="AF58" i="21"/>
  <c r="AA58" i="21"/>
  <c r="AF38" i="21"/>
  <c r="AA38" i="21"/>
  <c r="T140" i="21"/>
  <c r="AA5" i="21"/>
  <c r="T135" i="21"/>
  <c r="K140" i="22"/>
  <c r="G46" i="18"/>
  <c r="AG46" i="18"/>
  <c r="AQ46" i="18" s="1"/>
  <c r="G30" i="18"/>
  <c r="Y52" i="18"/>
  <c r="K48" i="17"/>
  <c r="K15" i="17"/>
  <c r="G34" i="18"/>
  <c r="AG34" i="18"/>
  <c r="Y47" i="18"/>
  <c r="AA66" i="21"/>
  <c r="AH109" i="18"/>
  <c r="AR109" i="18" s="1"/>
  <c r="AH68" i="18"/>
  <c r="AH35" i="18"/>
  <c r="H35" i="18"/>
  <c r="AF50" i="18"/>
  <c r="F50" i="18"/>
  <c r="Y56" i="18"/>
  <c r="AF130" i="21"/>
  <c r="AA130" i="21"/>
  <c r="AA110" i="21"/>
  <c r="AF90" i="21"/>
  <c r="AA90" i="21"/>
  <c r="AA70" i="21"/>
  <c r="AF70" i="21"/>
  <c r="AA50" i="21"/>
  <c r="AA30" i="21"/>
  <c r="M138" i="21"/>
  <c r="AF125" i="21"/>
  <c r="AA125" i="21"/>
  <c r="AF85" i="21"/>
  <c r="AA85" i="21"/>
  <c r="AF65" i="21"/>
  <c r="AA65" i="21"/>
  <c r="AA45" i="21"/>
  <c r="AF45" i="21"/>
  <c r="AF25" i="21"/>
  <c r="J138" i="21"/>
  <c r="AA25" i="21"/>
  <c r="AF94" i="21"/>
  <c r="AA94" i="21"/>
  <c r="AF89" i="21"/>
  <c r="AA89" i="21"/>
  <c r="AF49" i="21"/>
  <c r="AA49" i="21"/>
  <c r="AF9" i="21"/>
  <c r="AA9" i="21"/>
  <c r="AF124" i="21"/>
  <c r="AA124" i="21"/>
  <c r="AF104" i="21"/>
  <c r="AF84" i="21"/>
  <c r="AF64" i="21"/>
  <c r="AA64" i="21"/>
  <c r="AA44" i="21"/>
  <c r="AF53" i="21"/>
  <c r="AA53" i="21"/>
  <c r="AF33" i="21"/>
  <c r="AA33" i="21"/>
  <c r="AH129" i="18"/>
  <c r="AG84" i="18"/>
  <c r="AQ84" i="18" s="1"/>
  <c r="AH69" i="18"/>
  <c r="AR69" i="18" s="1"/>
  <c r="Q35" i="18"/>
  <c r="G45" i="18"/>
  <c r="Q45" i="18" s="1"/>
  <c r="AG45" i="18"/>
  <c r="W138" i="19"/>
  <c r="C38" i="17" s="1"/>
  <c r="AA128" i="21"/>
  <c r="AA108" i="21"/>
  <c r="AF68" i="21"/>
  <c r="AA68" i="21"/>
  <c r="AF48" i="21"/>
  <c r="AA48" i="21"/>
  <c r="AF28" i="21"/>
  <c r="AA28" i="21"/>
  <c r="AA8" i="21"/>
  <c r="AF8" i="21"/>
  <c r="AF123" i="21"/>
  <c r="AA123" i="21"/>
  <c r="AA103" i="21"/>
  <c r="AF103" i="21"/>
  <c r="AF83" i="21"/>
  <c r="AA83" i="21"/>
  <c r="AF63" i="21"/>
  <c r="AA63" i="21"/>
  <c r="AF132" i="21"/>
  <c r="AA132" i="21"/>
  <c r="AH125" i="18"/>
  <c r="H125" i="18"/>
  <c r="R125" i="18" s="1"/>
  <c r="V136" i="19"/>
  <c r="V137" i="19" s="1"/>
  <c r="F65" i="18"/>
  <c r="L108" i="22"/>
  <c r="L107" i="23" s="1"/>
  <c r="L68" i="22"/>
  <c r="L67" i="23" s="1"/>
  <c r="K141" i="22"/>
  <c r="G90" i="18"/>
  <c r="AG90" i="18"/>
  <c r="AQ90" i="18" s="1"/>
  <c r="AA131" i="21"/>
  <c r="X138" i="19"/>
  <c r="D38" i="17" s="1"/>
  <c r="AH119" i="18"/>
  <c r="H119" i="18"/>
  <c r="G116" i="18"/>
  <c r="AG116" i="18"/>
  <c r="AQ116" i="18" s="1"/>
  <c r="AF97" i="18"/>
  <c r="AF91" i="18"/>
  <c r="AP91" i="18" s="1"/>
  <c r="AH63" i="18"/>
  <c r="AR63" i="18" s="1"/>
  <c r="H19" i="18"/>
  <c r="R19" i="18" s="1"/>
  <c r="AH19" i="18"/>
  <c r="Y42" i="18"/>
  <c r="P42" i="18"/>
  <c r="J48" i="17"/>
  <c r="J15" i="17"/>
  <c r="AH45" i="18"/>
  <c r="AH44" i="18"/>
  <c r="AF11" i="18"/>
  <c r="AP11" i="18" s="1"/>
  <c r="AG120" i="18"/>
  <c r="AH53" i="18"/>
  <c r="G24" i="18"/>
  <c r="AG24" i="18"/>
  <c r="AQ24" i="18" s="1"/>
  <c r="AA71" i="21"/>
  <c r="AF71" i="21"/>
  <c r="AF106" i="21"/>
  <c r="J140" i="21"/>
  <c r="AP30" i="18"/>
  <c r="AA74" i="21"/>
  <c r="AF54" i="21"/>
  <c r="AF110" i="18"/>
  <c r="AF87" i="18"/>
  <c r="AP87" i="18" s="1"/>
  <c r="K134" i="22"/>
  <c r="Z136" i="19"/>
  <c r="AF5" i="21"/>
  <c r="AA113" i="21"/>
  <c r="AF93" i="21"/>
  <c r="AA73" i="21"/>
  <c r="AA112" i="21"/>
  <c r="AF72" i="21"/>
  <c r="AA72" i="21"/>
  <c r="AF52" i="21"/>
  <c r="AF32" i="21"/>
  <c r="AF12" i="21"/>
  <c r="AA47" i="21"/>
  <c r="AA27" i="21"/>
  <c r="AA7" i="21"/>
  <c r="F27" i="18"/>
  <c r="G130" i="18"/>
  <c r="Q130" i="18" s="1"/>
  <c r="AF14" i="21"/>
  <c r="AG104" i="18"/>
  <c r="AH99" i="18"/>
  <c r="G76" i="18"/>
  <c r="AF31" i="21"/>
  <c r="AF51" i="18"/>
  <c r="P73" i="18" l="1"/>
  <c r="U73" i="18" s="1"/>
  <c r="P77" i="18"/>
  <c r="AD77" i="18" s="1"/>
  <c r="AR77" i="18"/>
  <c r="P102" i="18"/>
  <c r="Z102" i="18" s="1"/>
  <c r="Q68" i="18"/>
  <c r="Q61" i="18"/>
  <c r="S61" i="18" s="1"/>
  <c r="W60" i="23" s="1"/>
  <c r="R7" i="18"/>
  <c r="AR125" i="18"/>
  <c r="I9" i="17"/>
  <c r="M192" i="1"/>
  <c r="AD102" i="23"/>
  <c r="M298" i="1"/>
  <c r="U59" i="23"/>
  <c r="AR74" i="18"/>
  <c r="AR66" i="18"/>
  <c r="R40" i="18"/>
  <c r="AL12" i="22"/>
  <c r="AQ110" i="18"/>
  <c r="AF136" i="19"/>
  <c r="AQ128" i="18"/>
  <c r="AP103" i="18"/>
  <c r="R123" i="18"/>
  <c r="AR41" i="18"/>
  <c r="Y29" i="18"/>
  <c r="P114" i="18"/>
  <c r="AD114" i="18" s="1"/>
  <c r="P33" i="18"/>
  <c r="Z33" i="18" s="1"/>
  <c r="Q74" i="18"/>
  <c r="P35" i="18"/>
  <c r="Z35" i="18" s="1"/>
  <c r="AP10" i="18"/>
  <c r="Q71" i="18"/>
  <c r="Q34" i="18"/>
  <c r="Q11" i="18"/>
  <c r="S11" i="18" s="1"/>
  <c r="X11" i="18" s="1"/>
  <c r="AR113" i="18"/>
  <c r="AR131" i="18"/>
  <c r="P92" i="18"/>
  <c r="U92" i="18" s="1"/>
  <c r="Q102" i="18"/>
  <c r="S102" i="18" s="1"/>
  <c r="W101" i="23" s="1"/>
  <c r="AQ77" i="18"/>
  <c r="AS77" i="18" s="1"/>
  <c r="Q132" i="18"/>
  <c r="Q119" i="18"/>
  <c r="S119" i="18" s="1"/>
  <c r="P88" i="18"/>
  <c r="AD88" i="18" s="1"/>
  <c r="AQ79" i="18"/>
  <c r="AS79" i="18" s="1"/>
  <c r="AQ67" i="18"/>
  <c r="P22" i="18"/>
  <c r="Z22" i="18" s="1"/>
  <c r="R25" i="18"/>
  <c r="AR85" i="18"/>
  <c r="P24" i="18"/>
  <c r="Z24" i="18" s="1"/>
  <c r="P74" i="18"/>
  <c r="V74" i="18" s="1"/>
  <c r="R100" i="18"/>
  <c r="AP78" i="18"/>
  <c r="AQ78" i="18"/>
  <c r="AR14" i="18"/>
  <c r="Q42" i="18"/>
  <c r="S42" i="18" s="1"/>
  <c r="X42" i="18" s="1"/>
  <c r="R92" i="18"/>
  <c r="AQ52" i="18"/>
  <c r="AS52" i="18" s="1"/>
  <c r="AQ8" i="18"/>
  <c r="AQ121" i="18"/>
  <c r="Q38" i="18"/>
  <c r="P90" i="18"/>
  <c r="V90" i="18" s="1"/>
  <c r="P128" i="18"/>
  <c r="Z128" i="18" s="1"/>
  <c r="AP57" i="18"/>
  <c r="AS57" i="18" s="1"/>
  <c r="P39" i="18"/>
  <c r="U39" i="18" s="1"/>
  <c r="AR51" i="18"/>
  <c r="AR99" i="18"/>
  <c r="Q84" i="18"/>
  <c r="AQ73" i="18"/>
  <c r="AS73" i="18" s="1"/>
  <c r="H109" i="23"/>
  <c r="U109" i="23" s="1"/>
  <c r="H15" i="23"/>
  <c r="U15" i="23" s="1"/>
  <c r="H85" i="23"/>
  <c r="H37" i="23"/>
  <c r="U37" i="23" s="1"/>
  <c r="H4" i="23"/>
  <c r="H127" i="23"/>
  <c r="U127" i="23" s="1"/>
  <c r="H22" i="23"/>
  <c r="U22" i="23" s="1"/>
  <c r="H35" i="23"/>
  <c r="U35" i="23" s="1"/>
  <c r="H99" i="23"/>
  <c r="U99" i="23" s="1"/>
  <c r="H48" i="23"/>
  <c r="U48" i="23" s="1"/>
  <c r="H94" i="23"/>
  <c r="U94" i="23" s="1"/>
  <c r="H90" i="23"/>
  <c r="U90" i="23" s="1"/>
  <c r="H110" i="23"/>
  <c r="U110" i="23" s="1"/>
  <c r="H53" i="23"/>
  <c r="U53" i="23" s="1"/>
  <c r="H75" i="23"/>
  <c r="U75" i="23" s="1"/>
  <c r="H66" i="23"/>
  <c r="U66" i="23" s="1"/>
  <c r="H6" i="23"/>
  <c r="U6" i="23" s="1"/>
  <c r="Q107" i="18"/>
  <c r="S107" i="18" s="1"/>
  <c r="H80" i="23"/>
  <c r="U80" i="23" s="1"/>
  <c r="H71" i="23"/>
  <c r="U71" i="23" s="1"/>
  <c r="H30" i="23"/>
  <c r="U30" i="23" s="1"/>
  <c r="H129" i="23"/>
  <c r="U129" i="23" s="1"/>
  <c r="H89" i="23"/>
  <c r="U89" i="23" s="1"/>
  <c r="H92" i="23"/>
  <c r="U92" i="23" s="1"/>
  <c r="H42" i="23"/>
  <c r="U42" i="23" s="1"/>
  <c r="H63" i="23"/>
  <c r="U63" i="23" s="1"/>
  <c r="H65" i="23"/>
  <c r="H78" i="23"/>
  <c r="U78" i="23" s="1"/>
  <c r="H122" i="23"/>
  <c r="U122" i="23" s="1"/>
  <c r="H28" i="23"/>
  <c r="U28" i="23" s="1"/>
  <c r="H119" i="23"/>
  <c r="U119" i="23" s="1"/>
  <c r="H60" i="23"/>
  <c r="U60" i="23" s="1"/>
  <c r="H36" i="23"/>
  <c r="U36" i="23" s="1"/>
  <c r="H101" i="23"/>
  <c r="U101" i="23" s="1"/>
  <c r="H102" i="23"/>
  <c r="U102" i="23" s="1"/>
  <c r="AR72" i="18"/>
  <c r="H12" i="23"/>
  <c r="H91" i="23"/>
  <c r="U91" i="23" s="1"/>
  <c r="H116" i="23"/>
  <c r="U116" i="23" s="1"/>
  <c r="H103" i="23"/>
  <c r="U103" i="23" s="1"/>
  <c r="H81" i="23"/>
  <c r="U81" i="23" s="1"/>
  <c r="H123" i="23"/>
  <c r="U123" i="23" s="1"/>
  <c r="H20" i="23"/>
  <c r="U20" i="23" s="1"/>
  <c r="H45" i="23"/>
  <c r="U45" i="23" s="1"/>
  <c r="H5" i="23"/>
  <c r="U5" i="23" s="1"/>
  <c r="H112" i="23"/>
  <c r="U112" i="23" s="1"/>
  <c r="H50" i="23"/>
  <c r="H55" i="23"/>
  <c r="U55" i="23" s="1"/>
  <c r="H82" i="23"/>
  <c r="U82" i="23" s="1"/>
  <c r="H83" i="23"/>
  <c r="H69" i="23"/>
  <c r="U69" i="23" s="1"/>
  <c r="H14" i="23"/>
  <c r="U14" i="23" s="1"/>
  <c r="H10" i="23"/>
  <c r="U10" i="23" s="1"/>
  <c r="H120" i="23"/>
  <c r="U120" i="23" s="1"/>
  <c r="H38" i="23"/>
  <c r="U38" i="23" s="1"/>
  <c r="H86" i="23"/>
  <c r="U86" i="23" s="1"/>
  <c r="H46" i="23"/>
  <c r="U46" i="23" s="1"/>
  <c r="H61" i="23"/>
  <c r="U61" i="23" s="1"/>
  <c r="H49" i="23"/>
  <c r="U49" i="23" s="1"/>
  <c r="H70" i="23"/>
  <c r="U70" i="23" s="1"/>
  <c r="H29" i="23"/>
  <c r="U29" i="23" s="1"/>
  <c r="H105" i="23"/>
  <c r="U105" i="23" s="1"/>
  <c r="H32" i="23"/>
  <c r="U32" i="23" s="1"/>
  <c r="H62" i="23"/>
  <c r="U62" i="23" s="1"/>
  <c r="H87" i="23"/>
  <c r="U87" i="23" s="1"/>
  <c r="H104" i="23"/>
  <c r="U104" i="23" s="1"/>
  <c r="H44" i="23"/>
  <c r="U44" i="23" s="1"/>
  <c r="H25" i="23"/>
  <c r="U25" i="23" s="1"/>
  <c r="H126" i="23"/>
  <c r="U126" i="23" s="1"/>
  <c r="H39" i="23"/>
  <c r="U39" i="23" s="1"/>
  <c r="H117" i="23"/>
  <c r="U117" i="23" s="1"/>
  <c r="H115" i="23"/>
  <c r="U115" i="23" s="1"/>
  <c r="H24" i="23"/>
  <c r="U24" i="23" s="1"/>
  <c r="H19" i="23"/>
  <c r="U19" i="23" s="1"/>
  <c r="H108" i="23"/>
  <c r="U108" i="23" s="1"/>
  <c r="H88" i="23"/>
  <c r="U88" i="23" s="1"/>
  <c r="AQ41" i="18"/>
  <c r="H51" i="23"/>
  <c r="U51" i="23" s="1"/>
  <c r="H72" i="23"/>
  <c r="U72" i="23" s="1"/>
  <c r="H114" i="23"/>
  <c r="U114" i="23" s="1"/>
  <c r="H47" i="23"/>
  <c r="U47" i="23" s="1"/>
  <c r="H13" i="23"/>
  <c r="U13" i="23" s="1"/>
  <c r="H121" i="23"/>
  <c r="U121" i="23" s="1"/>
  <c r="H74" i="23"/>
  <c r="U74" i="23" s="1"/>
  <c r="H31" i="23"/>
  <c r="U31" i="23" s="1"/>
  <c r="H33" i="23"/>
  <c r="U33" i="23" s="1"/>
  <c r="H97" i="23"/>
  <c r="H79" i="23"/>
  <c r="U79" i="23" s="1"/>
  <c r="H18" i="23"/>
  <c r="U18" i="23" s="1"/>
  <c r="H11" i="23"/>
  <c r="U11" i="23" s="1"/>
  <c r="H125" i="23"/>
  <c r="U125" i="23" s="1"/>
  <c r="H107" i="23"/>
  <c r="U107" i="23" s="1"/>
  <c r="H84" i="23"/>
  <c r="H128" i="23"/>
  <c r="U128" i="23" s="1"/>
  <c r="H54" i="23"/>
  <c r="U54" i="23" s="1"/>
  <c r="H67" i="23"/>
  <c r="U67" i="23" s="1"/>
  <c r="H118" i="23"/>
  <c r="U118" i="23" s="1"/>
  <c r="H58" i="23"/>
  <c r="U58" i="23" s="1"/>
  <c r="H98" i="23"/>
  <c r="U98" i="23" s="1"/>
  <c r="H23" i="23"/>
  <c r="U23" i="23" s="1"/>
  <c r="H56" i="23"/>
  <c r="U56" i="23" s="1"/>
  <c r="H7" i="23"/>
  <c r="U7" i="23" s="1"/>
  <c r="H93" i="23"/>
  <c r="U93" i="23" s="1"/>
  <c r="H130" i="23"/>
  <c r="U130" i="23" s="1"/>
  <c r="H27" i="23"/>
  <c r="H52" i="23"/>
  <c r="U52" i="23" s="1"/>
  <c r="H26" i="23"/>
  <c r="H21" i="23"/>
  <c r="U21" i="23" s="1"/>
  <c r="H113" i="23"/>
  <c r="U113" i="23" s="1"/>
  <c r="H57" i="23"/>
  <c r="U57" i="23" s="1"/>
  <c r="H17" i="23"/>
  <c r="U17" i="23" s="1"/>
  <c r="H95" i="23"/>
  <c r="U95" i="23" s="1"/>
  <c r="H124" i="23"/>
  <c r="U124" i="23" s="1"/>
  <c r="H16" i="23"/>
  <c r="U16" i="23" s="1"/>
  <c r="H43" i="23"/>
  <c r="U43" i="23" s="1"/>
  <c r="H106" i="23"/>
  <c r="U106" i="23" s="1"/>
  <c r="H111" i="23"/>
  <c r="U111" i="23" s="1"/>
  <c r="H100" i="23"/>
  <c r="U100" i="23" s="1"/>
  <c r="H40" i="23"/>
  <c r="U40" i="23" s="1"/>
  <c r="H41" i="23"/>
  <c r="U41" i="23" s="1"/>
  <c r="H73" i="23"/>
  <c r="H77" i="23"/>
  <c r="U77" i="23" s="1"/>
  <c r="H64" i="23"/>
  <c r="U64" i="23" s="1"/>
  <c r="H96" i="23"/>
  <c r="U96" i="23" s="1"/>
  <c r="H68" i="23"/>
  <c r="U68" i="23" s="1"/>
  <c r="H76" i="23"/>
  <c r="U76" i="23" s="1"/>
  <c r="O301" i="1"/>
  <c r="O305" i="1" s="1"/>
  <c r="AB104" i="23"/>
  <c r="F303" i="1"/>
  <c r="F308" i="1" s="1"/>
  <c r="AD97" i="23"/>
  <c r="P301" i="1"/>
  <c r="P305" i="1" s="1"/>
  <c r="AB105" i="23"/>
  <c r="AA105" i="23" s="1"/>
  <c r="G303" i="1"/>
  <c r="G307" i="1" s="1"/>
  <c r="AD98" i="23"/>
  <c r="F301" i="1"/>
  <c r="F305" i="1" s="1"/>
  <c r="AB97" i="23"/>
  <c r="AA97" i="23" s="1"/>
  <c r="AD106" i="23"/>
  <c r="M301" i="1"/>
  <c r="M305" i="1" s="1"/>
  <c r="AB102" i="23"/>
  <c r="G301" i="1"/>
  <c r="G305" i="1" s="1"/>
  <c r="AB98" i="23"/>
  <c r="AA96" i="23"/>
  <c r="N301" i="1"/>
  <c r="N305" i="1" s="1"/>
  <c r="AB103" i="23"/>
  <c r="AA103" i="23" s="1"/>
  <c r="AT99" i="23"/>
  <c r="AT54" i="23"/>
  <c r="AT100" i="23"/>
  <c r="AT55" i="23"/>
  <c r="AT98" i="23"/>
  <c r="AT53" i="23"/>
  <c r="AK69" i="23"/>
  <c r="AK92" i="23"/>
  <c r="M10" i="22"/>
  <c r="H24" i="22"/>
  <c r="M24" i="22"/>
  <c r="T7" i="22"/>
  <c r="Q10" i="22"/>
  <c r="P55" i="18"/>
  <c r="V55" i="18" s="1"/>
  <c r="Q54" i="18"/>
  <c r="S54" i="18" s="1"/>
  <c r="X54" i="18" s="1"/>
  <c r="R103" i="18"/>
  <c r="Q88" i="18"/>
  <c r="Q122" i="18"/>
  <c r="AR26" i="18"/>
  <c r="AP115" i="18"/>
  <c r="AQ95" i="18"/>
  <c r="AS95" i="18" s="1"/>
  <c r="AQ10" i="18"/>
  <c r="AP71" i="18"/>
  <c r="AS71" i="18" s="1"/>
  <c r="AP60" i="18"/>
  <c r="R80" i="18"/>
  <c r="Q36" i="18"/>
  <c r="R109" i="18"/>
  <c r="P84" i="18"/>
  <c r="U84" i="18" s="1"/>
  <c r="AP120" i="18"/>
  <c r="AP75" i="18"/>
  <c r="AS75" i="18" s="1"/>
  <c r="P62" i="18"/>
  <c r="S62" i="18" s="1"/>
  <c r="P108" i="18"/>
  <c r="U108" i="18" s="1"/>
  <c r="R107" i="18"/>
  <c r="AP29" i="18"/>
  <c r="P127" i="18"/>
  <c r="Z127" i="18" s="1"/>
  <c r="AP68" i="18"/>
  <c r="AS68" i="18" s="1"/>
  <c r="R87" i="18"/>
  <c r="P5" i="18"/>
  <c r="Z5" i="18" s="1"/>
  <c r="AI67" i="22"/>
  <c r="R60" i="18"/>
  <c r="Q20" i="18"/>
  <c r="Q53" i="18"/>
  <c r="AQ17" i="18"/>
  <c r="AR121" i="18"/>
  <c r="Q56" i="18"/>
  <c r="S56" i="18" s="1"/>
  <c r="X56" i="18" s="1"/>
  <c r="Q108" i="18"/>
  <c r="Q87" i="18"/>
  <c r="P129" i="18"/>
  <c r="AD129" i="18" s="1"/>
  <c r="U73" i="23"/>
  <c r="AQ100" i="18"/>
  <c r="AS100" i="18" s="1"/>
  <c r="Q99" i="18"/>
  <c r="AR122" i="18"/>
  <c r="AR83" i="18"/>
  <c r="P99" i="18"/>
  <c r="AB99" i="18" s="1"/>
  <c r="Q98" i="18"/>
  <c r="S98" i="18" s="1"/>
  <c r="X98" i="18" s="1"/>
  <c r="R37" i="18"/>
  <c r="R20" i="18"/>
  <c r="AQ66" i="18"/>
  <c r="AQ23" i="18"/>
  <c r="AS23" i="18" s="1"/>
  <c r="AR18" i="18"/>
  <c r="P64" i="18"/>
  <c r="Z64" i="18" s="1"/>
  <c r="AQ35" i="18"/>
  <c r="AS35" i="18" s="1"/>
  <c r="P15" i="18"/>
  <c r="V15" i="18" s="1"/>
  <c r="AR57" i="18"/>
  <c r="P130" i="18"/>
  <c r="U130" i="18" s="1"/>
  <c r="AQ33" i="18"/>
  <c r="AS33" i="18" s="1"/>
  <c r="AP106" i="18"/>
  <c r="AS106" i="18" s="1"/>
  <c r="AP6" i="18"/>
  <c r="AS6" i="18" s="1"/>
  <c r="AQ13" i="18"/>
  <c r="AQ69" i="18"/>
  <c r="AS69" i="18" s="1"/>
  <c r="AR118" i="18"/>
  <c r="AQ114" i="18"/>
  <c r="AQ126" i="18"/>
  <c r="AS126" i="18" s="1"/>
  <c r="AR96" i="18"/>
  <c r="AR81" i="18"/>
  <c r="AR132" i="18"/>
  <c r="AQ97" i="18"/>
  <c r="AQ86" i="18"/>
  <c r="AS86" i="18" s="1"/>
  <c r="AR106" i="18"/>
  <c r="AO139" i="21"/>
  <c r="AP70" i="18"/>
  <c r="AS70" i="18" s="1"/>
  <c r="AP114" i="18"/>
  <c r="AQ112" i="18"/>
  <c r="AQ117" i="18"/>
  <c r="AS117" i="18" s="1"/>
  <c r="AR110" i="18"/>
  <c r="AP17" i="18"/>
  <c r="AQ31" i="18"/>
  <c r="AR127" i="18"/>
  <c r="AQ94" i="18"/>
  <c r="R63" i="18"/>
  <c r="Q123" i="18"/>
  <c r="R120" i="18"/>
  <c r="AQ113" i="18"/>
  <c r="AS113" i="18" s="1"/>
  <c r="R31" i="18"/>
  <c r="P104" i="18"/>
  <c r="V104" i="18" s="1"/>
  <c r="P23" i="18"/>
  <c r="AB23" i="18" s="1"/>
  <c r="P48" i="18"/>
  <c r="AD48" i="18" s="1"/>
  <c r="P85" i="18"/>
  <c r="AB85" i="18" s="1"/>
  <c r="AP45" i="18"/>
  <c r="AP76" i="18"/>
  <c r="AS76" i="18" s="1"/>
  <c r="AL136" i="18"/>
  <c r="AP42" i="18"/>
  <c r="AS42" i="18" s="1"/>
  <c r="R29" i="18"/>
  <c r="P49" i="18"/>
  <c r="U49" i="18" s="1"/>
  <c r="P8" i="18"/>
  <c r="Z8" i="18" s="1"/>
  <c r="AQ104" i="18"/>
  <c r="AS104" i="18" s="1"/>
  <c r="AQ131" i="18"/>
  <c r="AQ9" i="18"/>
  <c r="AS9" i="18" s="1"/>
  <c r="R116" i="18"/>
  <c r="AP16" i="18"/>
  <c r="AR97" i="18"/>
  <c r="AR129" i="18"/>
  <c r="AP41" i="18"/>
  <c r="AR79" i="18"/>
  <c r="P120" i="18"/>
  <c r="S120" i="18" s="1"/>
  <c r="W119" i="23" s="1"/>
  <c r="AQ62" i="18"/>
  <c r="AS62" i="18" s="1"/>
  <c r="AL94" i="22"/>
  <c r="AP112" i="18"/>
  <c r="AP97" i="18"/>
  <c r="S136" i="22"/>
  <c r="S133" i="23" s="1"/>
  <c r="AL85" i="22"/>
  <c r="AK17" i="22"/>
  <c r="AS109" i="18"/>
  <c r="R36" i="18"/>
  <c r="AR128" i="18"/>
  <c r="AQ85" i="18"/>
  <c r="AS85" i="18" s="1"/>
  <c r="AR48" i="18"/>
  <c r="AP59" i="18"/>
  <c r="S91" i="18"/>
  <c r="W90" i="23" s="1"/>
  <c r="P75" i="18"/>
  <c r="AB75" i="18" s="1"/>
  <c r="P83" i="18"/>
  <c r="V83" i="18" s="1"/>
  <c r="AP125" i="18"/>
  <c r="AQ129" i="18"/>
  <c r="AQ115" i="18"/>
  <c r="AQ34" i="18"/>
  <c r="AS34" i="18" s="1"/>
  <c r="AR86" i="18"/>
  <c r="AR32" i="18"/>
  <c r="AQ40" i="18"/>
  <c r="P115" i="18"/>
  <c r="AB115" i="18" s="1"/>
  <c r="AP80" i="18"/>
  <c r="AS80" i="18" s="1"/>
  <c r="AR114" i="18"/>
  <c r="AP119" i="18"/>
  <c r="AS119" i="18" s="1"/>
  <c r="P12" i="18"/>
  <c r="AD12" i="18" s="1"/>
  <c r="AP56" i="18"/>
  <c r="AS56" i="18" s="1"/>
  <c r="AK127" i="22"/>
  <c r="AB98" i="18"/>
  <c r="R90" i="18"/>
  <c r="AR115" i="18"/>
  <c r="Q63" i="18"/>
  <c r="AP47" i="18"/>
  <c r="AS47" i="18" s="1"/>
  <c r="Q124" i="18"/>
  <c r="S124" i="18" s="1"/>
  <c r="AP129" i="18"/>
  <c r="AR52" i="18"/>
  <c r="AK109" i="22"/>
  <c r="AR112" i="18"/>
  <c r="P19" i="18"/>
  <c r="AD19" i="18" s="1"/>
  <c r="AP39" i="18"/>
  <c r="AS39" i="18" s="1"/>
  <c r="K134" i="18"/>
  <c r="AR104" i="18"/>
  <c r="AR23" i="18"/>
  <c r="I26" i="17"/>
  <c r="I33" i="17" s="1"/>
  <c r="P17" i="18"/>
  <c r="AD17" i="18" s="1"/>
  <c r="AL99" i="22"/>
  <c r="AP93" i="18"/>
  <c r="AR67" i="18"/>
  <c r="AK129" i="22"/>
  <c r="AP84" i="18"/>
  <c r="AS84" i="18" s="1"/>
  <c r="K47" i="17"/>
  <c r="AP31" i="18"/>
  <c r="AR62" i="18"/>
  <c r="R24" i="18"/>
  <c r="AQ127" i="18"/>
  <c r="AS127" i="18" s="1"/>
  <c r="Q46" i="18"/>
  <c r="Q90" i="18"/>
  <c r="Q75" i="18"/>
  <c r="Z103" i="18"/>
  <c r="AP38" i="18"/>
  <c r="AS38" i="18" s="1"/>
  <c r="AI137" i="18"/>
  <c r="AK77" i="22"/>
  <c r="J47" i="17"/>
  <c r="H23" i="17"/>
  <c r="H47" i="17" s="1"/>
  <c r="I67" i="17"/>
  <c r="H67" i="17" s="1"/>
  <c r="Q131" i="18"/>
  <c r="H59" i="17"/>
  <c r="V21" i="18"/>
  <c r="Q80" i="18"/>
  <c r="AP128" i="18"/>
  <c r="AP58" i="18"/>
  <c r="AS58" i="18" s="1"/>
  <c r="AR78" i="18"/>
  <c r="Q129" i="18"/>
  <c r="Q72" i="18"/>
  <c r="AR95" i="18"/>
  <c r="Q105" i="18"/>
  <c r="R111" i="18"/>
  <c r="P116" i="18"/>
  <c r="AB116" i="18" s="1"/>
  <c r="P82" i="18"/>
  <c r="AB82" i="18" s="1"/>
  <c r="Q64" i="18"/>
  <c r="AQ50" i="18"/>
  <c r="P113" i="18"/>
  <c r="U113" i="18" s="1"/>
  <c r="R57" i="18"/>
  <c r="U81" i="18"/>
  <c r="H48" i="17"/>
  <c r="AP124" i="18"/>
  <c r="AS124" i="18" s="1"/>
  <c r="P72" i="18"/>
  <c r="AB72" i="18" s="1"/>
  <c r="S47" i="18"/>
  <c r="W46" i="23" s="1"/>
  <c r="R77" i="18"/>
  <c r="V76" i="18"/>
  <c r="Q6" i="18"/>
  <c r="P18" i="18"/>
  <c r="AB18" i="18" s="1"/>
  <c r="AP121" i="18"/>
  <c r="Q92" i="18"/>
  <c r="AQ93" i="18"/>
  <c r="Z124" i="18"/>
  <c r="AQ49" i="18"/>
  <c r="AS49" i="18" s="1"/>
  <c r="AQ96" i="18"/>
  <c r="AS96" i="18" s="1"/>
  <c r="AP61" i="18"/>
  <c r="AS61" i="18" s="1"/>
  <c r="AB89" i="18"/>
  <c r="AP66" i="18"/>
  <c r="P6" i="18"/>
  <c r="Z6" i="18" s="1"/>
  <c r="AP94" i="18"/>
  <c r="AQ29" i="18"/>
  <c r="R88" i="18"/>
  <c r="P123" i="18"/>
  <c r="AD123" i="18" s="1"/>
  <c r="Z81" i="18"/>
  <c r="S81" i="18"/>
  <c r="W80" i="23" s="1"/>
  <c r="AP48" i="18"/>
  <c r="AS48" i="18" s="1"/>
  <c r="U21" i="18"/>
  <c r="P105" i="18"/>
  <c r="U105" i="18" s="1"/>
  <c r="AP131" i="18"/>
  <c r="AP102" i="18"/>
  <c r="AS102" i="18" s="1"/>
  <c r="S21" i="18"/>
  <c r="W20" i="23" s="1"/>
  <c r="AQ51" i="18"/>
  <c r="AD21" i="18"/>
  <c r="AB21" i="18"/>
  <c r="R9" i="18"/>
  <c r="Q106" i="18"/>
  <c r="S106" i="18" s="1"/>
  <c r="P132" i="18"/>
  <c r="AB132" i="18" s="1"/>
  <c r="V102" i="18"/>
  <c r="V81" i="18"/>
  <c r="AS27" i="18"/>
  <c r="P34" i="18"/>
  <c r="AQ111" i="18"/>
  <c r="P109" i="18"/>
  <c r="AB109" i="18" s="1"/>
  <c r="AR10" i="18"/>
  <c r="AR54" i="18"/>
  <c r="P53" i="18"/>
  <c r="U53" i="18" s="1"/>
  <c r="AD81" i="18"/>
  <c r="AP111" i="18"/>
  <c r="S93" i="18"/>
  <c r="W92" i="23" s="1"/>
  <c r="AP21" i="18"/>
  <c r="AS21" i="18" s="1"/>
  <c r="M303" i="1"/>
  <c r="P303" i="1"/>
  <c r="AI39" i="22"/>
  <c r="L303" i="1"/>
  <c r="N303" i="1"/>
  <c r="O303" i="1"/>
  <c r="Q303" i="1"/>
  <c r="R303" i="1"/>
  <c r="H187" i="1"/>
  <c r="H301" i="1" s="1"/>
  <c r="H305" i="1" s="1"/>
  <c r="I188" i="1"/>
  <c r="I187" i="1"/>
  <c r="I301" i="1" s="1"/>
  <c r="I305" i="1" s="1"/>
  <c r="I186" i="1"/>
  <c r="I191" i="1"/>
  <c r="I190" i="1"/>
  <c r="I189" i="1"/>
  <c r="J187" i="1"/>
  <c r="J301" i="1" s="1"/>
  <c r="J305" i="1" s="1"/>
  <c r="J186" i="1"/>
  <c r="J191" i="1"/>
  <c r="J190" i="1"/>
  <c r="J189" i="1"/>
  <c r="J188" i="1"/>
  <c r="K191" i="1"/>
  <c r="K188" i="1"/>
  <c r="K190" i="1"/>
  <c r="K189" i="1"/>
  <c r="K187" i="1"/>
  <c r="K301" i="1" s="1"/>
  <c r="K305" i="1" s="1"/>
  <c r="K186" i="1"/>
  <c r="H189" i="1"/>
  <c r="H188" i="1"/>
  <c r="H186" i="1"/>
  <c r="H191" i="1"/>
  <c r="H190" i="1"/>
  <c r="AK81" i="22"/>
  <c r="H442" i="1"/>
  <c r="H345" i="1"/>
  <c r="H346" i="1"/>
  <c r="H440" i="1"/>
  <c r="AK40" i="22"/>
  <c r="H348" i="1"/>
  <c r="H463" i="1"/>
  <c r="AI10" i="22"/>
  <c r="F333" i="1"/>
  <c r="H333" i="1" s="1"/>
  <c r="AI40" i="22"/>
  <c r="H347" i="1"/>
  <c r="H415" i="1"/>
  <c r="H478" i="1"/>
  <c r="H445" i="1"/>
  <c r="H475" i="1"/>
  <c r="H477" i="1"/>
  <c r="H410" i="1"/>
  <c r="H412" i="1"/>
  <c r="H444" i="1"/>
  <c r="H476" i="1"/>
  <c r="AK74" i="22"/>
  <c r="H443" i="1"/>
  <c r="H473" i="1"/>
  <c r="H367" i="1"/>
  <c r="H527" i="1"/>
  <c r="H522" i="1"/>
  <c r="T99" i="22"/>
  <c r="AK111" i="22"/>
  <c r="AL69" i="22"/>
  <c r="K8" i="17"/>
  <c r="K19" i="17" s="1"/>
  <c r="K20" i="17" s="1"/>
  <c r="H551" i="1"/>
  <c r="H413" i="1"/>
  <c r="I41" i="17"/>
  <c r="I42" i="17" s="1"/>
  <c r="AI69" i="22"/>
  <c r="I19" i="17"/>
  <c r="I20" i="17" s="1"/>
  <c r="AI82" i="22"/>
  <c r="H524" i="1"/>
  <c r="H365" i="1"/>
  <c r="J43" i="17"/>
  <c r="J44" i="17" s="1"/>
  <c r="H566" i="1"/>
  <c r="AK59" i="22"/>
  <c r="H343" i="1"/>
  <c r="H366" i="1"/>
  <c r="H414" i="1"/>
  <c r="H363" i="1"/>
  <c r="H368" i="1"/>
  <c r="AI59" i="22"/>
  <c r="H568" i="1"/>
  <c r="H525" i="1"/>
  <c r="H379" i="1"/>
  <c r="H382" i="1"/>
  <c r="H377" i="1"/>
  <c r="H380" i="1"/>
  <c r="H381" i="1"/>
  <c r="H426" i="1"/>
  <c r="H430" i="1"/>
  <c r="H431" i="1"/>
  <c r="H428" i="1"/>
  <c r="H429" i="1"/>
  <c r="H460" i="1"/>
  <c r="H510" i="1"/>
  <c r="H513" i="1"/>
  <c r="H514" i="1"/>
  <c r="H515" i="1"/>
  <c r="H512" i="1"/>
  <c r="H526" i="1"/>
  <c r="H552" i="1"/>
  <c r="H570" i="1"/>
  <c r="H553" i="1"/>
  <c r="H462" i="1"/>
  <c r="AI41" i="22"/>
  <c r="H549" i="1"/>
  <c r="H461" i="1"/>
  <c r="H554" i="1"/>
  <c r="H458" i="1"/>
  <c r="H491" i="1"/>
  <c r="H494" i="1"/>
  <c r="H495" i="1"/>
  <c r="H493" i="1"/>
  <c r="H496" i="1"/>
  <c r="H537" i="1"/>
  <c r="H533" i="1"/>
  <c r="H538" i="1"/>
  <c r="H535" i="1"/>
  <c r="H536" i="1"/>
  <c r="H569" i="1"/>
  <c r="H571" i="1"/>
  <c r="H579" i="1"/>
  <c r="H582" i="1"/>
  <c r="H577" i="1"/>
  <c r="H580" i="1"/>
  <c r="H581" i="1"/>
  <c r="AI7" i="22"/>
  <c r="AI74" i="22"/>
  <c r="U84" i="23"/>
  <c r="AK56" i="22"/>
  <c r="AI56" i="22"/>
  <c r="AI132" i="22"/>
  <c r="AI125" i="22"/>
  <c r="AK84" i="22"/>
  <c r="AI126" i="22"/>
  <c r="AI127" i="22"/>
  <c r="AI13" i="22"/>
  <c r="AI102" i="22"/>
  <c r="AK118" i="22"/>
  <c r="AK102" i="22"/>
  <c r="AI21" i="22"/>
  <c r="AI9" i="22"/>
  <c r="AK124" i="22"/>
  <c r="AI83" i="22"/>
  <c r="AI124" i="22"/>
  <c r="AI130" i="22"/>
  <c r="U85" i="23"/>
  <c r="AI24" i="22"/>
  <c r="AI53" i="22"/>
  <c r="Q77" i="22"/>
  <c r="AI87" i="22"/>
  <c r="AI86" i="22"/>
  <c r="AI22" i="22"/>
  <c r="AI119" i="22"/>
  <c r="AI20" i="22"/>
  <c r="AI110" i="22"/>
  <c r="AL9" i="22"/>
  <c r="AI116" i="22"/>
  <c r="AL21" i="22"/>
  <c r="AI106" i="22"/>
  <c r="AL106" i="22"/>
  <c r="AI78" i="22"/>
  <c r="AK78" i="22"/>
  <c r="AK105" i="22"/>
  <c r="AI105" i="22"/>
  <c r="U12" i="23"/>
  <c r="U9" i="23"/>
  <c r="AI11" i="22"/>
  <c r="AK66" i="22"/>
  <c r="AL86" i="22"/>
  <c r="AI90" i="22"/>
  <c r="AI101" i="22"/>
  <c r="AI70" i="22"/>
  <c r="Q127" i="22"/>
  <c r="AK70" i="22"/>
  <c r="AI19" i="22"/>
  <c r="AI117" i="22"/>
  <c r="G137" i="18"/>
  <c r="C9" i="17" s="1"/>
  <c r="AP13" i="18"/>
  <c r="P30" i="18"/>
  <c r="V30" i="18" s="1"/>
  <c r="P36" i="18"/>
  <c r="AP8" i="18"/>
  <c r="P68" i="18"/>
  <c r="S68" i="18" s="1"/>
  <c r="W67" i="23" s="1"/>
  <c r="AI100" i="22"/>
  <c r="AI66" i="22"/>
  <c r="AL46" i="22"/>
  <c r="K294" i="1"/>
  <c r="J293" i="1"/>
  <c r="K292" i="1"/>
  <c r="K295" i="1"/>
  <c r="K297" i="1"/>
  <c r="K296" i="1"/>
  <c r="K293" i="1"/>
  <c r="J297" i="1"/>
  <c r="I292" i="1"/>
  <c r="J295" i="1"/>
  <c r="J296" i="1"/>
  <c r="J292" i="1"/>
  <c r="J294" i="1"/>
  <c r="AI77" i="22"/>
  <c r="I293" i="1"/>
  <c r="I296" i="1"/>
  <c r="I297" i="1"/>
  <c r="I295" i="1"/>
  <c r="I294" i="1"/>
  <c r="AK117" i="22"/>
  <c r="AI46" i="22"/>
  <c r="AI16" i="22"/>
  <c r="AI104" i="22"/>
  <c r="AK54" i="22"/>
  <c r="AK38" i="22"/>
  <c r="AI18" i="22"/>
  <c r="AL72" i="22"/>
  <c r="AI54" i="22"/>
  <c r="AL51" i="22"/>
  <c r="AI111" i="22"/>
  <c r="AE141" i="22"/>
  <c r="Q141" i="22" s="1"/>
  <c r="AL63" i="22"/>
  <c r="AI118" i="22"/>
  <c r="AI95" i="22"/>
  <c r="T65" i="22"/>
  <c r="AI49" i="22"/>
  <c r="AI99" i="22"/>
  <c r="Q109" i="22"/>
  <c r="AF9" i="23" a="1"/>
  <c r="AF9" i="23" s="1"/>
  <c r="AI13" i="23" a="1"/>
  <c r="AI13" i="23" s="1"/>
  <c r="AF139" i="22"/>
  <c r="T139" i="22" s="1"/>
  <c r="AI68" i="22"/>
  <c r="AI113" i="22"/>
  <c r="AE134" i="22"/>
  <c r="Q136" i="22" s="1"/>
  <c r="Y149" i="22"/>
  <c r="U131" i="23"/>
  <c r="U83" i="23"/>
  <c r="U65" i="23"/>
  <c r="AK32" i="22"/>
  <c r="AK108" i="22"/>
  <c r="AI98" i="22"/>
  <c r="AI34" i="22"/>
  <c r="AI42" i="22"/>
  <c r="AI32" i="22"/>
  <c r="AL115" i="22"/>
  <c r="AI115" i="22"/>
  <c r="AI73" i="22"/>
  <c r="AE139" i="22"/>
  <c r="Q139" i="22" s="1"/>
  <c r="J41" i="17"/>
  <c r="J42" i="17" s="1"/>
  <c r="AD139" i="22"/>
  <c r="M139" i="22" s="1"/>
  <c r="AK95" i="22"/>
  <c r="AI88" i="22"/>
  <c r="AI44" i="22"/>
  <c r="AL97" i="22"/>
  <c r="AL80" i="22"/>
  <c r="H296" i="1"/>
  <c r="AI84" i="22"/>
  <c r="AI108" i="22"/>
  <c r="AI129" i="22"/>
  <c r="AI48" i="22"/>
  <c r="Q84" i="22"/>
  <c r="AI91" i="22"/>
  <c r="AL23" i="22"/>
  <c r="H297" i="1"/>
  <c r="Q129" i="22"/>
  <c r="AI71" i="22"/>
  <c r="H294" i="1"/>
  <c r="T86" i="22"/>
  <c r="AI45" i="22"/>
  <c r="AI43" i="22"/>
  <c r="AI63" i="22"/>
  <c r="AI65" i="22"/>
  <c r="AI50" i="22"/>
  <c r="AI25" i="22"/>
  <c r="T130" i="22"/>
  <c r="H295" i="1"/>
  <c r="AL88" i="22"/>
  <c r="AF140" i="22"/>
  <c r="T140" i="22" s="1"/>
  <c r="AI72" i="22"/>
  <c r="AC140" i="22"/>
  <c r="H140" i="22" s="1"/>
  <c r="AI123" i="22"/>
  <c r="Z146" i="22"/>
  <c r="Y146" i="22"/>
  <c r="X146" i="22"/>
  <c r="W146" i="22"/>
  <c r="Q25" i="22"/>
  <c r="AK48" i="22"/>
  <c r="AI131" i="22"/>
  <c r="Q48" i="22"/>
  <c r="AI120" i="22"/>
  <c r="AL47" i="22"/>
  <c r="AK128" i="22"/>
  <c r="AK89" i="22"/>
  <c r="Y144" i="22"/>
  <c r="AI29" i="22"/>
  <c r="AI31" i="22"/>
  <c r="Z144" i="22"/>
  <c r="AI51" i="22"/>
  <c r="AK25" i="22"/>
  <c r="U50" i="23"/>
  <c r="AK44" i="22"/>
  <c r="AI62" i="22"/>
  <c r="AK120" i="22"/>
  <c r="AI109" i="22"/>
  <c r="AI52" i="22"/>
  <c r="AI112" i="22"/>
  <c r="AI15" i="22"/>
  <c r="AI57" i="22"/>
  <c r="X144" i="22"/>
  <c r="W144" i="22"/>
  <c r="AF11" i="23" a="1"/>
  <c r="AF11" i="23" s="1"/>
  <c r="AI37" i="22"/>
  <c r="AC22" i="23" a="1"/>
  <c r="AC22" i="23" s="1"/>
  <c r="AI55" i="22"/>
  <c r="AI33" i="22"/>
  <c r="AI97" i="22"/>
  <c r="AE12" i="23" a="1"/>
  <c r="AE12" i="23" s="1"/>
  <c r="AL35" i="22"/>
  <c r="AI14" i="23" a="1"/>
  <c r="AI14" i="23" s="1"/>
  <c r="AK60" i="22"/>
  <c r="AL38" i="22"/>
  <c r="AI128" i="22"/>
  <c r="Q17" i="22"/>
  <c r="Z149" i="22"/>
  <c r="AE140" i="22"/>
  <c r="Q140" i="22" s="1"/>
  <c r="AI11" i="23" a="1"/>
  <c r="AI11" i="23" s="1"/>
  <c r="AB16" i="23" a="1"/>
  <c r="AB16" i="23" s="1"/>
  <c r="AL93" i="22"/>
  <c r="AI76" i="22"/>
  <c r="AI10" i="23" a="1"/>
  <c r="AI10" i="23" s="1"/>
  <c r="AI17" i="22"/>
  <c r="AI60" i="22"/>
  <c r="X149" i="22"/>
  <c r="Q30" i="22"/>
  <c r="AL55" i="22"/>
  <c r="AL131" i="22"/>
  <c r="AK30" i="22"/>
  <c r="AK10" i="22"/>
  <c r="U8" i="23"/>
  <c r="AI47" i="22"/>
  <c r="AB9" i="23" a="1"/>
  <c r="AB9" i="23" s="1"/>
  <c r="AI93" i="22"/>
  <c r="H10" i="22"/>
  <c r="AC139" i="22"/>
  <c r="H139" i="22" s="1"/>
  <c r="AI58" i="22"/>
  <c r="AL33" i="22"/>
  <c r="AL41" i="22"/>
  <c r="AI122" i="22"/>
  <c r="U26" i="23"/>
  <c r="AI6" i="22"/>
  <c r="H7" i="22"/>
  <c r="AI92" i="22"/>
  <c r="AI89" i="22"/>
  <c r="W149" i="22"/>
  <c r="AI14" i="22"/>
  <c r="AI80" i="22"/>
  <c r="AD89" i="18"/>
  <c r="AD29" i="18"/>
  <c r="E52" i="17"/>
  <c r="V29" i="18"/>
  <c r="AB29" i="18"/>
  <c r="S58" i="18"/>
  <c r="W57" i="23" s="1"/>
  <c r="P96" i="18"/>
  <c r="V96" i="18" s="1"/>
  <c r="Z89" i="18"/>
  <c r="P100" i="18"/>
  <c r="AD100" i="18" s="1"/>
  <c r="P28" i="18"/>
  <c r="U28" i="18" s="1"/>
  <c r="V89" i="18"/>
  <c r="H39" i="17"/>
  <c r="H41" i="17" s="1"/>
  <c r="H42" i="17" s="1"/>
  <c r="R93" i="18"/>
  <c r="E51" i="17"/>
  <c r="R101" i="18"/>
  <c r="N137" i="18"/>
  <c r="D21" i="17" s="1"/>
  <c r="P94" i="18"/>
  <c r="S94" i="18" s="1"/>
  <c r="X94" i="18" s="1"/>
  <c r="AR44" i="18"/>
  <c r="N136" i="18"/>
  <c r="D20" i="17" s="1"/>
  <c r="AC54" i="18"/>
  <c r="AD54" i="18" s="1"/>
  <c r="U97" i="23"/>
  <c r="P117" i="18"/>
  <c r="U117" i="18" s="1"/>
  <c r="AB124" i="18"/>
  <c r="AS82" i="18"/>
  <c r="AD124" i="18"/>
  <c r="Q89" i="18"/>
  <c r="S89" i="18" s="1"/>
  <c r="W88" i="23" s="1"/>
  <c r="U124" i="18"/>
  <c r="P44" i="18"/>
  <c r="U44" i="18" s="1"/>
  <c r="AR58" i="18"/>
  <c r="R73" i="18"/>
  <c r="P79" i="18"/>
  <c r="Z79" i="18" s="1"/>
  <c r="Q116" i="18"/>
  <c r="P87" i="18"/>
  <c r="V87" i="18" s="1"/>
  <c r="P46" i="18"/>
  <c r="AA9" i="18"/>
  <c r="P9" i="18"/>
  <c r="S9" i="18" s="1"/>
  <c r="W8" i="23" s="1"/>
  <c r="AD33" i="18"/>
  <c r="AD102" i="18"/>
  <c r="AS108" i="18"/>
  <c r="U76" i="18"/>
  <c r="AD76" i="18"/>
  <c r="AB76" i="18"/>
  <c r="AS36" i="18"/>
  <c r="P69" i="18"/>
  <c r="Z69" i="18" s="1"/>
  <c r="U31" i="18"/>
  <c r="Z31" i="18"/>
  <c r="I138" i="18"/>
  <c r="B16" i="17" s="1"/>
  <c r="AS83" i="18"/>
  <c r="AS99" i="18"/>
  <c r="AQ59" i="18"/>
  <c r="V93" i="18"/>
  <c r="AP101" i="18"/>
  <c r="U93" i="18"/>
  <c r="Z93" i="18"/>
  <c r="Z29" i="18"/>
  <c r="Q76" i="18"/>
  <c r="S76" i="18" s="1"/>
  <c r="X76" i="18" s="1"/>
  <c r="AR68" i="18"/>
  <c r="P95" i="18"/>
  <c r="AD95" i="18" s="1"/>
  <c r="P66" i="18"/>
  <c r="S66" i="18" s="1"/>
  <c r="X66" i="18" s="1"/>
  <c r="S31" i="18"/>
  <c r="W30" i="23" s="1"/>
  <c r="AD93" i="18"/>
  <c r="AS19" i="18"/>
  <c r="AB54" i="18"/>
  <c r="AB61" i="18"/>
  <c r="Y85" i="18"/>
  <c r="L135" i="23"/>
  <c r="U11" i="18"/>
  <c r="AB102" i="18"/>
  <c r="C57" i="17"/>
  <c r="AD61" i="18"/>
  <c r="AP26" i="18"/>
  <c r="AS26" i="18" s="1"/>
  <c r="V54" i="18"/>
  <c r="Z54" i="18"/>
  <c r="S45" i="18"/>
  <c r="W44" i="23" s="1"/>
  <c r="U27" i="23"/>
  <c r="U102" i="18"/>
  <c r="AD45" i="18"/>
  <c r="AB45" i="18"/>
  <c r="P80" i="18"/>
  <c r="AB80" i="18" s="1"/>
  <c r="H136" i="18"/>
  <c r="D8" i="17" s="1"/>
  <c r="V73" i="18"/>
  <c r="AS28" i="18"/>
  <c r="H49" i="17"/>
  <c r="Q97" i="18"/>
  <c r="S97" i="18" s="1"/>
  <c r="W96" i="23" s="1"/>
  <c r="AB73" i="18"/>
  <c r="AS122" i="18"/>
  <c r="D57" i="17"/>
  <c r="S103" i="18"/>
  <c r="W102" i="23" s="1"/>
  <c r="AQ18" i="18"/>
  <c r="AS18" i="18" s="1"/>
  <c r="F138" i="18"/>
  <c r="B10" i="17" s="1"/>
  <c r="AB58" i="18"/>
  <c r="F137" i="18"/>
  <c r="B9" i="17" s="1"/>
  <c r="B39" i="17"/>
  <c r="E39" i="17" s="1"/>
  <c r="AF139" i="19"/>
  <c r="P16" i="18"/>
  <c r="S16" i="18" s="1"/>
  <c r="W15" i="23" s="1"/>
  <c r="AD97" i="18"/>
  <c r="Z10" i="18"/>
  <c r="U10" i="18"/>
  <c r="V10" i="18"/>
  <c r="Z45" i="18"/>
  <c r="AK136" i="18"/>
  <c r="AB59" i="18"/>
  <c r="AS92" i="18"/>
  <c r="V45" i="18"/>
  <c r="S10" i="18"/>
  <c r="M138" i="18"/>
  <c r="C22" i="17" s="1"/>
  <c r="AD10" i="18"/>
  <c r="AK138" i="18"/>
  <c r="P43" i="18"/>
  <c r="U43" i="18" s="1"/>
  <c r="AD78" i="18"/>
  <c r="AQ60" i="18"/>
  <c r="V92" i="18"/>
  <c r="S86" i="18"/>
  <c r="W85" i="23" s="1"/>
  <c r="AS37" i="18"/>
  <c r="P110" i="18"/>
  <c r="S110" i="18" s="1"/>
  <c r="AB74" i="18"/>
  <c r="AD106" i="18"/>
  <c r="AP51" i="18"/>
  <c r="J136" i="18"/>
  <c r="C14" i="17" s="1"/>
  <c r="P63" i="18"/>
  <c r="AB63" i="18" s="1"/>
  <c r="AQ53" i="18"/>
  <c r="AS53" i="18" s="1"/>
  <c r="P51" i="18"/>
  <c r="Z51" i="18" s="1"/>
  <c r="AD98" i="18"/>
  <c r="U61" i="18"/>
  <c r="V61" i="18"/>
  <c r="AB10" i="18"/>
  <c r="AI30" i="22"/>
  <c r="AK91" i="22"/>
  <c r="AK26" i="22"/>
  <c r="AI26" i="22"/>
  <c r="AK58" i="22"/>
  <c r="Q58" i="22"/>
  <c r="Q26" i="22"/>
  <c r="AI121" i="22"/>
  <c r="AI64" i="22"/>
  <c r="AH140" i="22"/>
  <c r="T85" i="22"/>
  <c r="AI85" i="22"/>
  <c r="T119" i="22"/>
  <c r="AK114" i="22"/>
  <c r="AI114" i="22"/>
  <c r="Q114" i="22"/>
  <c r="Q27" i="22"/>
  <c r="AI27" i="22"/>
  <c r="Q91" i="22"/>
  <c r="AH141" i="22"/>
  <c r="AH134" i="22"/>
  <c r="AK28" i="22"/>
  <c r="Q28" i="22"/>
  <c r="AI28" i="22"/>
  <c r="Z136" i="22"/>
  <c r="AL119" i="22"/>
  <c r="AH139" i="22"/>
  <c r="T82" i="22"/>
  <c r="AI8" i="22"/>
  <c r="AL11" i="22"/>
  <c r="T11" i="22"/>
  <c r="H292" i="1"/>
  <c r="K9" i="17"/>
  <c r="H5" i="22"/>
  <c r="AC134" i="22"/>
  <c r="AC136" i="22" s="1"/>
  <c r="AC141" i="22"/>
  <c r="H141" i="22" s="1"/>
  <c r="AC133" i="22"/>
  <c r="T100" i="22"/>
  <c r="AI12" i="22"/>
  <c r="T12" i="22"/>
  <c r="Z138" i="22"/>
  <c r="Y138" i="22"/>
  <c r="W138" i="22"/>
  <c r="X138" i="22"/>
  <c r="Z143" i="22"/>
  <c r="X143" i="22"/>
  <c r="Y143" i="22"/>
  <c r="W143" i="22"/>
  <c r="AI107" i="22"/>
  <c r="K7" i="17"/>
  <c r="K41" i="17" s="1"/>
  <c r="K42" i="17" s="1"/>
  <c r="H293" i="1"/>
  <c r="M5" i="22"/>
  <c r="AD141" i="22"/>
  <c r="M141" i="22" s="1"/>
  <c r="AD134" i="22"/>
  <c r="AD136" i="22" s="1"/>
  <c r="AD133" i="22"/>
  <c r="T96" i="22"/>
  <c r="AI96" i="22"/>
  <c r="AL96" i="22"/>
  <c r="AE133" i="22"/>
  <c r="T35" i="22"/>
  <c r="AI35" i="22"/>
  <c r="AL5" i="22"/>
  <c r="AF134" i="22"/>
  <c r="T5" i="22"/>
  <c r="AI5" i="22"/>
  <c r="AF141" i="22"/>
  <c r="T141" i="22" s="1"/>
  <c r="AF133" i="22"/>
  <c r="AD140" i="22"/>
  <c r="M140" i="22" s="1"/>
  <c r="M7" i="22"/>
  <c r="AI79" i="22"/>
  <c r="AL79" i="22"/>
  <c r="T79" i="22"/>
  <c r="AL36" i="22"/>
  <c r="T101" i="22"/>
  <c r="T38" i="22"/>
  <c r="AI38" i="22"/>
  <c r="T64" i="22"/>
  <c r="AL64" i="22"/>
  <c r="AL101" i="22"/>
  <c r="T94" i="22"/>
  <c r="AI94" i="22"/>
  <c r="Z145" i="22"/>
  <c r="X145" i="22"/>
  <c r="Y145" i="22"/>
  <c r="W145" i="22"/>
  <c r="T6" i="22"/>
  <c r="T36" i="22"/>
  <c r="AI36" i="22"/>
  <c r="AI103" i="22"/>
  <c r="T103" i="22"/>
  <c r="AL103" i="22"/>
  <c r="AI75" i="22"/>
  <c r="AI61" i="22"/>
  <c r="AM138" i="18"/>
  <c r="AM136" i="18"/>
  <c r="AM134" i="18"/>
  <c r="AS90" i="18"/>
  <c r="AS32" i="18"/>
  <c r="AS63" i="18"/>
  <c r="AL137" i="18"/>
  <c r="AS72" i="18"/>
  <c r="AS107" i="18"/>
  <c r="AL138" i="18"/>
  <c r="V59" i="18"/>
  <c r="Z47" i="18"/>
  <c r="V70" i="18"/>
  <c r="AB97" i="18"/>
  <c r="F143" i="23"/>
  <c r="F144" i="22"/>
  <c r="G140" i="22"/>
  <c r="AN134" i="18"/>
  <c r="AS55" i="18"/>
  <c r="AQ16" i="18"/>
  <c r="R119" i="18"/>
  <c r="Z86" i="18"/>
  <c r="AS98" i="18"/>
  <c r="S78" i="18"/>
  <c r="X78" i="18" s="1"/>
  <c r="AR71" i="18"/>
  <c r="AP67" i="18"/>
  <c r="V11" i="18"/>
  <c r="AP118" i="18"/>
  <c r="AS118" i="18" s="1"/>
  <c r="AL134" i="18"/>
  <c r="B49" i="17"/>
  <c r="N134" i="18"/>
  <c r="N138" i="18"/>
  <c r="D22" i="17" s="1"/>
  <c r="R30" i="18"/>
  <c r="U119" i="18"/>
  <c r="AS123" i="18"/>
  <c r="Z78" i="18"/>
  <c r="F143" i="22"/>
  <c r="F142" i="23"/>
  <c r="G139" i="22"/>
  <c r="U98" i="18"/>
  <c r="AS20" i="18"/>
  <c r="P38" i="18"/>
  <c r="AD38" i="18" s="1"/>
  <c r="AN137" i="18"/>
  <c r="D49" i="17"/>
  <c r="R5" i="18"/>
  <c r="AR98" i="18"/>
  <c r="AB47" i="18"/>
  <c r="Z56" i="18"/>
  <c r="AO140" i="21"/>
  <c r="P67" i="18"/>
  <c r="S67" i="18" s="1"/>
  <c r="X67" i="18" s="1"/>
  <c r="Q29" i="18"/>
  <c r="S29" i="18" s="1"/>
  <c r="AD119" i="18"/>
  <c r="AR119" i="18"/>
  <c r="Z98" i="18"/>
  <c r="AD11" i="18"/>
  <c r="AB11" i="18"/>
  <c r="R17" i="18"/>
  <c r="Q25" i="18"/>
  <c r="M136" i="18"/>
  <c r="C20" i="17" s="1"/>
  <c r="AM137" i="18"/>
  <c r="Z70" i="18"/>
  <c r="AB103" i="18"/>
  <c r="AQ103" i="18"/>
  <c r="AP132" i="18"/>
  <c r="AS132" i="18" s="1"/>
  <c r="Z107" i="18"/>
  <c r="V107" i="18"/>
  <c r="U107" i="18"/>
  <c r="AN136" i="18"/>
  <c r="C49" i="17"/>
  <c r="E50" i="17"/>
  <c r="L137" i="18"/>
  <c r="B21" i="17" s="1"/>
  <c r="V119" i="18"/>
  <c r="AB77" i="18"/>
  <c r="V78" i="18"/>
  <c r="AP110" i="18"/>
  <c r="R74" i="18"/>
  <c r="AS91" i="18"/>
  <c r="P52" i="18"/>
  <c r="Z52" i="18" s="1"/>
  <c r="AS81" i="18"/>
  <c r="AS12" i="18"/>
  <c r="U59" i="18"/>
  <c r="U103" i="18"/>
  <c r="Z97" i="18"/>
  <c r="AD73" i="18"/>
  <c r="AB70" i="18"/>
  <c r="Z92" i="18"/>
  <c r="AG138" i="21"/>
  <c r="V106" i="18"/>
  <c r="U78" i="18"/>
  <c r="V97" i="18"/>
  <c r="AR8" i="18"/>
  <c r="AN138" i="18"/>
  <c r="AC121" i="18"/>
  <c r="P121" i="18"/>
  <c r="S121" i="18" s="1"/>
  <c r="Z59" i="18"/>
  <c r="G136" i="22"/>
  <c r="W136" i="22"/>
  <c r="M137" i="18"/>
  <c r="C21" i="17" s="1"/>
  <c r="M134" i="18"/>
  <c r="AS11" i="18"/>
  <c r="V56" i="18"/>
  <c r="U56" i="18"/>
  <c r="Z73" i="18"/>
  <c r="AD31" i="18"/>
  <c r="AD70" i="18"/>
  <c r="Z106" i="18"/>
  <c r="L136" i="18"/>
  <c r="B20" i="17" s="1"/>
  <c r="AB107" i="18"/>
  <c r="F144" i="23"/>
  <c r="G141" i="22"/>
  <c r="F145" i="22"/>
  <c r="S73" i="18"/>
  <c r="W72" i="23" s="1"/>
  <c r="AS54" i="18"/>
  <c r="U106" i="18"/>
  <c r="R8" i="18"/>
  <c r="AC6" i="18"/>
  <c r="L134" i="18"/>
  <c r="L138" i="18"/>
  <c r="B22" i="17" s="1"/>
  <c r="P112" i="18"/>
  <c r="S112" i="18" s="1"/>
  <c r="AC112" i="18"/>
  <c r="AB119" i="18"/>
  <c r="AD56" i="18"/>
  <c r="P118" i="18"/>
  <c r="Z118" i="18" s="1"/>
  <c r="AS43" i="18"/>
  <c r="AS65" i="18"/>
  <c r="AS87" i="18"/>
  <c r="H68" i="17"/>
  <c r="AS14" i="18"/>
  <c r="AK134" i="18"/>
  <c r="AS74" i="18"/>
  <c r="AS130" i="18"/>
  <c r="AK137" i="18"/>
  <c r="AJ134" i="18"/>
  <c r="AR6" i="18"/>
  <c r="AI134" i="18"/>
  <c r="AQ15" i="18"/>
  <c r="AS15" i="18" s="1"/>
  <c r="AI136" i="18"/>
  <c r="AP25" i="18"/>
  <c r="AS25" i="18" s="1"/>
  <c r="AJ137" i="18"/>
  <c r="AJ136" i="18"/>
  <c r="AS46" i="18"/>
  <c r="AQ125" i="18"/>
  <c r="B45" i="17"/>
  <c r="AP40" i="18"/>
  <c r="AR89" i="18"/>
  <c r="S70" i="18"/>
  <c r="AQ22" i="18"/>
  <c r="AS22" i="18" s="1"/>
  <c r="AA32" i="18"/>
  <c r="P32" i="18"/>
  <c r="AD58" i="18"/>
  <c r="U58" i="18"/>
  <c r="V58" i="18"/>
  <c r="S59" i="18"/>
  <c r="AD59" i="18"/>
  <c r="AR64" i="18"/>
  <c r="AL7" i="22"/>
  <c r="AJ140" i="22"/>
  <c r="AS24" i="18"/>
  <c r="Q125" i="18"/>
  <c r="AQ44" i="18"/>
  <c r="AS44" i="18" s="1"/>
  <c r="AO138" i="21"/>
  <c r="AR15" i="18"/>
  <c r="AA122" i="18"/>
  <c r="P122" i="18"/>
  <c r="AA14" i="18"/>
  <c r="I136" i="18"/>
  <c r="B14" i="17" s="1"/>
  <c r="P14" i="18"/>
  <c r="AS116" i="18"/>
  <c r="D58" i="17"/>
  <c r="AG140" i="21"/>
  <c r="AG135" i="21"/>
  <c r="Q32" i="18"/>
  <c r="O144" i="22"/>
  <c r="P140" i="22"/>
  <c r="N143" i="23"/>
  <c r="AR53" i="18"/>
  <c r="K136" i="18"/>
  <c r="D14" i="17" s="1"/>
  <c r="P141" i="22"/>
  <c r="N144" i="23"/>
  <c r="O145" i="22"/>
  <c r="K137" i="18"/>
  <c r="D15" i="17" s="1"/>
  <c r="S141" i="22"/>
  <c r="R145" i="22"/>
  <c r="Q144" i="23"/>
  <c r="AQ120" i="18"/>
  <c r="AP50" i="18"/>
  <c r="S77" i="18"/>
  <c r="W76" i="23" s="1"/>
  <c r="V103" i="18"/>
  <c r="AS64" i="18"/>
  <c r="D43" i="17"/>
  <c r="AA131" i="18"/>
  <c r="P131" i="18"/>
  <c r="Q22" i="18"/>
  <c r="K138" i="18"/>
  <c r="D16" i="17" s="1"/>
  <c r="AS88" i="18"/>
  <c r="V77" i="18"/>
  <c r="AS105" i="18"/>
  <c r="Z111" i="18"/>
  <c r="AJ138" i="18"/>
  <c r="S101" i="18"/>
  <c r="AA139" i="21"/>
  <c r="S140" i="22"/>
  <c r="R144" i="22"/>
  <c r="Q143" i="23"/>
  <c r="AQ101" i="18"/>
  <c r="AG139" i="21"/>
  <c r="AB31" i="18"/>
  <c r="AJ141" i="22"/>
  <c r="AL6" i="22"/>
  <c r="AJ134" i="22"/>
  <c r="U101" i="18"/>
  <c r="V101" i="18"/>
  <c r="AD101" i="18"/>
  <c r="AD111" i="18"/>
  <c r="U111" i="18"/>
  <c r="V111" i="18"/>
  <c r="AA7" i="18"/>
  <c r="I137" i="18"/>
  <c r="B15" i="17" s="1"/>
  <c r="Q7" i="18"/>
  <c r="J137" i="18"/>
  <c r="C15" i="17" s="1"/>
  <c r="AB101" i="18"/>
  <c r="S139" i="22"/>
  <c r="R143" i="22"/>
  <c r="Q142" i="23"/>
  <c r="J138" i="18"/>
  <c r="C16" i="17" s="1"/>
  <c r="J134" i="18"/>
  <c r="I134" i="18"/>
  <c r="AJ139" i="22"/>
  <c r="AK22" i="22"/>
  <c r="AB91" i="18"/>
  <c r="Z91" i="18"/>
  <c r="U91" i="18"/>
  <c r="V91" i="18"/>
  <c r="AD91" i="18"/>
  <c r="V60" i="18"/>
  <c r="AD60" i="18"/>
  <c r="Z60" i="18"/>
  <c r="B44" i="17"/>
  <c r="E44" i="17" s="1"/>
  <c r="AI138" i="18"/>
  <c r="P13" i="18"/>
  <c r="AA13" i="18"/>
  <c r="Q133" i="22"/>
  <c r="P136" i="22"/>
  <c r="Y136" i="22"/>
  <c r="S60" i="18"/>
  <c r="X60" i="18" s="1"/>
  <c r="AA57" i="18"/>
  <c r="P57" i="18"/>
  <c r="B46" i="17"/>
  <c r="E46" i="17" s="1"/>
  <c r="Z77" i="18"/>
  <c r="N142" i="23"/>
  <c r="O143" i="22"/>
  <c r="P139" i="22"/>
  <c r="U60" i="18"/>
  <c r="P7" i="18"/>
  <c r="U7" i="18" s="1"/>
  <c r="AR59" i="18"/>
  <c r="U77" i="18"/>
  <c r="Q5" i="18"/>
  <c r="V47" i="18"/>
  <c r="AD47" i="18"/>
  <c r="U47" i="18"/>
  <c r="C43" i="17"/>
  <c r="S111" i="18"/>
  <c r="AF137" i="18"/>
  <c r="AG137" i="18"/>
  <c r="AH134" i="18"/>
  <c r="AL16" i="23" a="1"/>
  <c r="AL16" i="23" s="1"/>
  <c r="AM16" i="23" s="1"/>
  <c r="AQ16" i="23" s="1"/>
  <c r="Z42" i="18"/>
  <c r="D56" i="17"/>
  <c r="D37" i="17"/>
  <c r="R35" i="18"/>
  <c r="H137" i="18"/>
  <c r="D9" i="17" s="1"/>
  <c r="K33" i="17"/>
  <c r="K50" i="17" s="1"/>
  <c r="H15" i="17"/>
  <c r="AL17" i="23" a="1"/>
  <c r="AL17" i="23" s="1"/>
  <c r="AM17" i="23" s="1"/>
  <c r="AQ17" i="23" s="1"/>
  <c r="AI12" i="23" a="1"/>
  <c r="AI12" i="23" s="1"/>
  <c r="AB15" i="23" a="1"/>
  <c r="AB15" i="23" s="1"/>
  <c r="AR35" i="18"/>
  <c r="AH137" i="18"/>
  <c r="AG138" i="18"/>
  <c r="AG134" i="18"/>
  <c r="AQ5" i="18"/>
  <c r="AH22" i="23" a="1"/>
  <c r="AH22" i="23" s="1"/>
  <c r="AB13" i="23" a="1"/>
  <c r="AB13" i="23" s="1"/>
  <c r="AC20" i="23" a="1"/>
  <c r="AC20" i="23" s="1"/>
  <c r="AE17" i="23" a="1"/>
  <c r="AE17" i="23" s="1"/>
  <c r="AR45" i="18"/>
  <c r="AH136" i="18"/>
  <c r="U26" i="18"/>
  <c r="V26" i="18"/>
  <c r="AD26" i="18"/>
  <c r="AB26" i="18"/>
  <c r="AH15" i="23" a="1"/>
  <c r="AH15" i="23" s="1"/>
  <c r="AH10" i="23" a="1"/>
  <c r="AH10" i="23" s="1"/>
  <c r="AC16" i="23" a="1"/>
  <c r="AC16" i="23" s="1"/>
  <c r="AC14" i="23" a="1"/>
  <c r="AC14" i="23" s="1"/>
  <c r="AC17" i="23" a="1"/>
  <c r="AC17" i="23" s="1"/>
  <c r="V37" i="18"/>
  <c r="U37" i="18"/>
  <c r="AB37" i="18"/>
  <c r="AD37" i="18"/>
  <c r="AL18" i="23" a="1"/>
  <c r="AL18" i="23" s="1"/>
  <c r="AQ18" i="23" s="1"/>
  <c r="AH13" i="23" a="1"/>
  <c r="AH13" i="23" s="1"/>
  <c r="AH9" i="23" a="1"/>
  <c r="AH9" i="23" s="1"/>
  <c r="AB18" i="23" a="1"/>
  <c r="AB18" i="23" s="1"/>
  <c r="AR19" i="18"/>
  <c r="AH138" i="18"/>
  <c r="B38" i="17"/>
  <c r="AF138" i="19"/>
  <c r="Y125" i="18"/>
  <c r="P125" i="18"/>
  <c r="P40" i="18"/>
  <c r="Y40" i="18"/>
  <c r="V71" i="18"/>
  <c r="AD71" i="18"/>
  <c r="U71" i="18"/>
  <c r="AB71" i="18"/>
  <c r="Y27" i="18"/>
  <c r="P27" i="18"/>
  <c r="AF16" i="23" a="1"/>
  <c r="AF16" i="23" s="1"/>
  <c r="AF15" i="23" a="1"/>
  <c r="AF15" i="23" s="1"/>
  <c r="AB22" i="23" a="1"/>
  <c r="AB22" i="23" s="1"/>
  <c r="AF12" i="23" a="1"/>
  <c r="AF12" i="23" s="1"/>
  <c r="AL10" i="23" a="1"/>
  <c r="AL10" i="23" s="1"/>
  <c r="AM10" i="23" s="1"/>
  <c r="AQ10" i="23" s="1"/>
  <c r="AI9" i="23" a="1"/>
  <c r="AI9" i="23" s="1"/>
  <c r="AF13" i="23" a="1"/>
  <c r="AF13" i="23" s="1"/>
  <c r="AI20" i="23" a="1"/>
  <c r="AI20" i="23" s="1"/>
  <c r="AE13" i="23" a="1"/>
  <c r="AE13" i="23" s="1"/>
  <c r="AF10" i="23" a="1"/>
  <c r="AF10" i="23" s="1"/>
  <c r="Q24" i="18"/>
  <c r="G134" i="18"/>
  <c r="Q30" i="18"/>
  <c r="Y25" i="18"/>
  <c r="P25" i="18"/>
  <c r="F136" i="18"/>
  <c r="B8" i="17" s="1"/>
  <c r="AL13" i="23" a="1"/>
  <c r="AL13" i="23" s="1"/>
  <c r="AM13" i="23" s="1"/>
  <c r="AQ13" i="23" s="1"/>
  <c r="AE15" i="23" a="1"/>
  <c r="AE15" i="23" s="1"/>
  <c r="C58" i="17"/>
  <c r="AA138" i="21"/>
  <c r="AB14" i="23" a="1"/>
  <c r="AB14" i="23" s="1"/>
  <c r="AC15" i="23" a="1"/>
  <c r="AC15" i="23" s="1"/>
  <c r="AH17" i="23" a="1"/>
  <c r="AH17" i="23" s="1"/>
  <c r="AC13" i="23" a="1"/>
  <c r="AC13" i="23" s="1"/>
  <c r="C37" i="17"/>
  <c r="C56" i="17"/>
  <c r="AE18" i="23" a="1"/>
  <c r="AE18" i="23" s="1"/>
  <c r="B40" i="17"/>
  <c r="AF140" i="19"/>
  <c r="AH19" i="23" a="1"/>
  <c r="AH19" i="23" s="1"/>
  <c r="AH18" i="23" a="1"/>
  <c r="AH18" i="23" s="1"/>
  <c r="P65" i="18"/>
  <c r="Y65" i="18"/>
  <c r="AI15" i="23" a="1"/>
  <c r="AI15" i="23" s="1"/>
  <c r="AL14" i="23" a="1"/>
  <c r="AL14" i="23" s="1"/>
  <c r="AQ14" i="23" s="1"/>
  <c r="AF139" i="21"/>
  <c r="AC11" i="23" a="1"/>
  <c r="AC11" i="23" s="1"/>
  <c r="Z37" i="18"/>
  <c r="AQ89" i="18"/>
  <c r="AE9" i="23" a="1"/>
  <c r="AE9" i="23" s="1"/>
  <c r="AF22" i="23" a="1"/>
  <c r="AF22" i="23" s="1"/>
  <c r="AL11" i="23" a="1"/>
  <c r="AL11" i="23" s="1"/>
  <c r="AM11" i="23" s="1"/>
  <c r="AQ11" i="23" s="1"/>
  <c r="H134" i="18"/>
  <c r="AQ45" i="18"/>
  <c r="AG136" i="18"/>
  <c r="P50" i="18"/>
  <c r="Y50" i="18"/>
  <c r="I17" i="17"/>
  <c r="I18" i="17" s="1"/>
  <c r="L140" i="22"/>
  <c r="K144" i="22"/>
  <c r="J143" i="23"/>
  <c r="AE19" i="23" a="1"/>
  <c r="AE19" i="23" s="1"/>
  <c r="Y20" i="18"/>
  <c r="P20" i="18"/>
  <c r="H63" i="17"/>
  <c r="Z71" i="18"/>
  <c r="AL20" i="23" a="1"/>
  <c r="AL20" i="23" s="1"/>
  <c r="AQ20" i="23" s="1"/>
  <c r="AF17" i="23" a="1"/>
  <c r="AF17" i="23" s="1"/>
  <c r="AL9" i="23" a="1"/>
  <c r="AL9" i="23" s="1"/>
  <c r="AM9" i="23" s="1"/>
  <c r="AQ9" i="23" s="1"/>
  <c r="S71" i="18"/>
  <c r="L136" i="23"/>
  <c r="AL12" i="23" a="1"/>
  <c r="AL12" i="23" s="1"/>
  <c r="AQ12" i="23" s="1"/>
  <c r="AE16" i="23" a="1"/>
  <c r="AE16" i="23" s="1"/>
  <c r="AF140" i="21"/>
  <c r="AF135" i="21"/>
  <c r="AI17" i="23" a="1"/>
  <c r="AI17" i="23" s="1"/>
  <c r="AH11" i="23" a="1"/>
  <c r="AH11" i="23" s="1"/>
  <c r="AH12" i="23" a="1"/>
  <c r="AH12" i="23" s="1"/>
  <c r="H138" i="18"/>
  <c r="D10" i="17" s="1"/>
  <c r="AO135" i="21"/>
  <c r="G138" i="18"/>
  <c r="C10" i="17" s="1"/>
  <c r="Y41" i="18"/>
  <c r="P41" i="18"/>
  <c r="AE22" i="23" a="1"/>
  <c r="AE22" i="23" s="1"/>
  <c r="AD42" i="18"/>
  <c r="U42" i="18"/>
  <c r="V42" i="18"/>
  <c r="AB42" i="18"/>
  <c r="Y126" i="18"/>
  <c r="P126" i="18"/>
  <c r="AE20" i="23" a="1"/>
  <c r="AE20" i="23" s="1"/>
  <c r="AF134" i="18"/>
  <c r="AP5" i="18"/>
  <c r="AF138" i="18"/>
  <c r="AB19" i="23" a="1"/>
  <c r="AB19" i="23" s="1"/>
  <c r="AB20" i="23" a="1"/>
  <c r="AB20" i="23" s="1"/>
  <c r="L139" i="22"/>
  <c r="J142" i="23"/>
  <c r="K143" i="22"/>
  <c r="AF14" i="23" a="1"/>
  <c r="AF14" i="23" s="1"/>
  <c r="AH16" i="23" a="1"/>
  <c r="AH16" i="23" s="1"/>
  <c r="AB12" i="23" a="1"/>
  <c r="AB12" i="23" s="1"/>
  <c r="AI16" i="23" a="1"/>
  <c r="AI16" i="23" s="1"/>
  <c r="AA135" i="21"/>
  <c r="AA140" i="21"/>
  <c r="Y136" i="19"/>
  <c r="AF19" i="23" a="1"/>
  <c r="AF19" i="23" s="1"/>
  <c r="J33" i="17"/>
  <c r="J50" i="17" s="1"/>
  <c r="AC10" i="23" a="1"/>
  <c r="AC10" i="23" s="1"/>
  <c r="AH14" i="23" a="1"/>
  <c r="AH14" i="23" s="1"/>
  <c r="AL19" i="23" a="1"/>
  <c r="AL19" i="23" s="1"/>
  <c r="AM19" i="23" s="1"/>
  <c r="AQ19" i="23" s="1"/>
  <c r="AI18" i="23" a="1"/>
  <c r="AI18" i="23" s="1"/>
  <c r="AF138" i="21"/>
  <c r="AE14" i="23" a="1"/>
  <c r="AE14" i="23" s="1"/>
  <c r="AB11" i="23" a="1"/>
  <c r="AB11" i="23" s="1"/>
  <c r="AF18" i="23" a="1"/>
  <c r="AF18" i="23" s="1"/>
  <c r="AH20" i="23" a="1"/>
  <c r="AH20" i="23" s="1"/>
  <c r="AS30" i="18"/>
  <c r="F134" i="18"/>
  <c r="G136" i="18"/>
  <c r="C8" i="17" s="1"/>
  <c r="AS7" i="18"/>
  <c r="AE10" i="23" a="1"/>
  <c r="AE10" i="23" s="1"/>
  <c r="S26" i="18"/>
  <c r="AC18" i="23" a="1"/>
  <c r="AC18" i="23" s="1"/>
  <c r="AC19" i="23" a="1"/>
  <c r="AC19" i="23" s="1"/>
  <c r="L136" i="22"/>
  <c r="X136" i="22"/>
  <c r="AI22" i="23" a="1"/>
  <c r="AI22" i="23" s="1"/>
  <c r="AC12" i="23" a="1"/>
  <c r="AC12" i="23" s="1"/>
  <c r="AF20" i="23" a="1"/>
  <c r="AF20" i="23" s="1"/>
  <c r="J144" i="23"/>
  <c r="L141" i="22"/>
  <c r="K145" i="22"/>
  <c r="AB86" i="18"/>
  <c r="U86" i="18"/>
  <c r="AD86" i="18"/>
  <c r="V86" i="18"/>
  <c r="AF136" i="18"/>
  <c r="AC9" i="23" a="1"/>
  <c r="AC9" i="23" s="1"/>
  <c r="AB10" i="23" a="1"/>
  <c r="AB10" i="23" s="1"/>
  <c r="AE11" i="23" a="1"/>
  <c r="AE11" i="23" s="1"/>
  <c r="AB17" i="23" a="1"/>
  <c r="AB17" i="23" s="1"/>
  <c r="AL15" i="23" a="1"/>
  <c r="AL15" i="23" s="1"/>
  <c r="AM15" i="23" s="1"/>
  <c r="AQ15" i="23" s="1"/>
  <c r="AI19" i="23" a="1"/>
  <c r="AI19" i="23" s="1"/>
  <c r="Z26" i="18"/>
  <c r="S37" i="18"/>
  <c r="V22" i="18" l="1"/>
  <c r="AB114" i="18"/>
  <c r="Z114" i="18"/>
  <c r="S114" i="18"/>
  <c r="W113" i="23" s="1"/>
  <c r="AS78" i="18"/>
  <c r="AA102" i="23"/>
  <c r="AS10" i="18"/>
  <c r="AB34" i="23" a="1"/>
  <c r="AB34" i="23" s="1"/>
  <c r="AB36" i="23" a="1"/>
  <c r="AB36" i="23" s="1"/>
  <c r="V114" i="18"/>
  <c r="Z74" i="18"/>
  <c r="AD22" i="18"/>
  <c r="AS110" i="18"/>
  <c r="AD74" i="18"/>
  <c r="AS60" i="18"/>
  <c r="V33" i="18"/>
  <c r="AS128" i="18"/>
  <c r="S74" i="18"/>
  <c r="W73" i="23" s="1"/>
  <c r="AD62" i="18"/>
  <c r="V128" i="18"/>
  <c r="S48" i="18"/>
  <c r="W47" i="23" s="1"/>
  <c r="AD64" i="18"/>
  <c r="Z48" i="18"/>
  <c r="AB62" i="18"/>
  <c r="U64" i="18"/>
  <c r="V64" i="18"/>
  <c r="AB48" i="18"/>
  <c r="S33" i="18"/>
  <c r="X33" i="18" s="1"/>
  <c r="AB108" i="18"/>
  <c r="V62" i="18"/>
  <c r="U114" i="18"/>
  <c r="Z62" i="18"/>
  <c r="AB22" i="18"/>
  <c r="U22" i="18"/>
  <c r="AD55" i="18"/>
  <c r="V48" i="18"/>
  <c r="V108" i="18"/>
  <c r="U62" i="18"/>
  <c r="U48" i="18"/>
  <c r="AD5" i="18"/>
  <c r="AD108" i="18"/>
  <c r="Z55" i="18"/>
  <c r="AB64" i="18"/>
  <c r="U33" i="18"/>
  <c r="AB83" i="18"/>
  <c r="U5" i="18"/>
  <c r="V5" i="18"/>
  <c r="AS103" i="18"/>
  <c r="Z108" i="18"/>
  <c r="AB5" i="18"/>
  <c r="S55" i="18"/>
  <c r="W54" i="23" s="1"/>
  <c r="AB92" i="18"/>
  <c r="S92" i="18"/>
  <c r="X92" i="18" s="1"/>
  <c r="U74" i="18"/>
  <c r="S90" i="18"/>
  <c r="W89" i="23" s="1"/>
  <c r="S5" i="18"/>
  <c r="X5" i="18" s="1"/>
  <c r="AB128" i="18"/>
  <c r="X47" i="18"/>
  <c r="U55" i="18"/>
  <c r="S36" i="18"/>
  <c r="X36" i="18" s="1"/>
  <c r="AB55" i="18"/>
  <c r="S128" i="18"/>
  <c r="W127" i="23" s="1"/>
  <c r="U128" i="18"/>
  <c r="AD128" i="18"/>
  <c r="AD92" i="18"/>
  <c r="V88" i="18"/>
  <c r="AS59" i="18"/>
  <c r="U24" i="18"/>
  <c r="U88" i="18"/>
  <c r="AB35" i="18"/>
  <c r="S35" i="18"/>
  <c r="X35" i="18" s="1"/>
  <c r="Z88" i="18"/>
  <c r="U90" i="18"/>
  <c r="AB90" i="18"/>
  <c r="AB33" i="18"/>
  <c r="S39" i="18"/>
  <c r="W38" i="23" s="1"/>
  <c r="AS8" i="18"/>
  <c r="S34" i="18"/>
  <c r="X34" i="18" s="1"/>
  <c r="AB24" i="18"/>
  <c r="AS41" i="18"/>
  <c r="U35" i="18"/>
  <c r="V35" i="18"/>
  <c r="AD90" i="18"/>
  <c r="AB88" i="18"/>
  <c r="V24" i="18"/>
  <c r="S24" i="18"/>
  <c r="W23" i="23" s="1"/>
  <c r="AD24" i="18"/>
  <c r="AS121" i="18"/>
  <c r="S88" i="18"/>
  <c r="W87" i="23" s="1"/>
  <c r="Z90" i="18"/>
  <c r="AD35" i="18"/>
  <c r="S84" i="18"/>
  <c r="X84" i="18" s="1"/>
  <c r="AD127" i="18"/>
  <c r="AS67" i="18"/>
  <c r="S127" i="18"/>
  <c r="AS115" i="18"/>
  <c r="S108" i="18"/>
  <c r="W107" i="23" s="1"/>
  <c r="G308" i="1"/>
  <c r="F307" i="1"/>
  <c r="U4" i="23"/>
  <c r="U127" i="18"/>
  <c r="V23" i="18"/>
  <c r="Z39" i="18"/>
  <c r="V39" i="18"/>
  <c r="AD39" i="18"/>
  <c r="V127" i="18"/>
  <c r="AB127" i="18"/>
  <c r="AB39" i="18"/>
  <c r="H136" i="23"/>
  <c r="AB32" i="23" a="1"/>
  <c r="AB32" i="23" s="1"/>
  <c r="H135" i="23"/>
  <c r="W135" i="23"/>
  <c r="AD130" i="18"/>
  <c r="S129" i="18"/>
  <c r="W128" i="23" s="1"/>
  <c r="AB40" i="23" a="1"/>
  <c r="AB40" i="23" s="1"/>
  <c r="AB31" i="23" a="1"/>
  <c r="AB31" i="23" s="1"/>
  <c r="AB33" i="23" a="1"/>
  <c r="AB33" i="23" s="1"/>
  <c r="AB38" i="23" a="1"/>
  <c r="AB38" i="23" s="1"/>
  <c r="Z104" i="18"/>
  <c r="AL38" i="23" a="1"/>
  <c r="AL38" i="23" s="1"/>
  <c r="AM38" i="23" s="1"/>
  <c r="AQ37" i="23" s="1"/>
  <c r="AD15" i="18"/>
  <c r="Z49" i="18"/>
  <c r="AB42" i="23" a="1"/>
  <c r="AB42" i="23" s="1"/>
  <c r="AL42" i="23" a="1"/>
  <c r="AL42" i="23" s="1"/>
  <c r="AM42" i="23" s="1"/>
  <c r="AQ41" i="23" s="1"/>
  <c r="AL35" i="23" a="1"/>
  <c r="AL35" i="23" s="1"/>
  <c r="AM35" i="23" s="1"/>
  <c r="AQ34" i="23" s="1"/>
  <c r="AH42" i="23" a="1"/>
  <c r="AH42" i="23" s="1"/>
  <c r="AH39" i="23" a="1"/>
  <c r="AH39" i="23" s="1"/>
  <c r="AH36" i="23" a="1"/>
  <c r="AH36" i="23" s="1"/>
  <c r="AH33" i="23" a="1"/>
  <c r="AH33" i="23" s="1"/>
  <c r="AF43" i="23" a="1"/>
  <c r="AF43" i="23" s="1"/>
  <c r="AF37" i="23" a="1"/>
  <c r="AF37" i="23" s="1"/>
  <c r="AF31" i="23" a="1"/>
  <c r="AF31" i="23" s="1"/>
  <c r="AE39" i="23" a="1"/>
  <c r="AE39" i="23" s="1"/>
  <c r="AE33" i="23" a="1"/>
  <c r="AE33" i="23" s="1"/>
  <c r="AC40" i="23" a="1"/>
  <c r="AC40" i="23" s="1"/>
  <c r="AC34" i="23" a="1"/>
  <c r="AC34" i="23" s="1"/>
  <c r="AE44" i="23" a="1"/>
  <c r="AE44" i="23" s="1"/>
  <c r="AE38" i="23" a="1"/>
  <c r="AE38" i="23" s="1"/>
  <c r="AC39" i="23" a="1"/>
  <c r="AC39" i="23" s="1"/>
  <c r="AH31" i="23" a="1"/>
  <c r="AH31" i="23" s="1"/>
  <c r="AE35" i="23" a="1"/>
  <c r="AE35" i="23" s="1"/>
  <c r="AL41" i="23" a="1"/>
  <c r="AL41" i="23" s="1"/>
  <c r="AM41" i="23" s="1"/>
  <c r="AQ40" i="23" s="1"/>
  <c r="AL34" i="23" a="1"/>
  <c r="AL34" i="23" s="1"/>
  <c r="AM34" i="23" s="1"/>
  <c r="AQ33" i="23" s="1"/>
  <c r="AI44" i="23" a="1"/>
  <c r="AI44" i="23" s="1"/>
  <c r="AI41" i="23" a="1"/>
  <c r="AI41" i="23" s="1"/>
  <c r="AI38" i="23" a="1"/>
  <c r="AI38" i="23" s="1"/>
  <c r="AI35" i="23" a="1"/>
  <c r="AI35" i="23" s="1"/>
  <c r="AI32" i="23" a="1"/>
  <c r="AI32" i="23" s="1"/>
  <c r="AF42" i="23" a="1"/>
  <c r="AF42" i="23" s="1"/>
  <c r="AF36" i="23" a="1"/>
  <c r="AF36" i="23" s="1"/>
  <c r="AE32" i="23" a="1"/>
  <c r="AE32" i="23" s="1"/>
  <c r="AC33" i="23" a="1"/>
  <c r="AC33" i="23" s="1"/>
  <c r="AF39" i="23" a="1"/>
  <c r="AF39" i="23" s="1"/>
  <c r="AC42" i="23" a="1"/>
  <c r="AC42" i="23" s="1"/>
  <c r="AL40" i="23" a="1"/>
  <c r="AL40" i="23" s="1"/>
  <c r="AM40" i="23" s="1"/>
  <c r="AQ39" i="23" s="1"/>
  <c r="AL33" i="23" a="1"/>
  <c r="AL33" i="23" s="1"/>
  <c r="AM33" i="23" s="1"/>
  <c r="AQ32" i="23" s="1"/>
  <c r="AH44" i="23" a="1"/>
  <c r="AH44" i="23" s="1"/>
  <c r="AH41" i="23" a="1"/>
  <c r="AH41" i="23" s="1"/>
  <c r="AH38" i="23" a="1"/>
  <c r="AH38" i="23" s="1"/>
  <c r="AH35" i="23" a="1"/>
  <c r="AH35" i="23" s="1"/>
  <c r="AH32" i="23" a="1"/>
  <c r="AH32" i="23" s="1"/>
  <c r="AF41" i="23" a="1"/>
  <c r="AF41" i="23" s="1"/>
  <c r="AF35" i="23" a="1"/>
  <c r="AF35" i="23" s="1"/>
  <c r="AE43" i="23" a="1"/>
  <c r="AE43" i="23" s="1"/>
  <c r="AE37" i="23" a="1"/>
  <c r="AE37" i="23" s="1"/>
  <c r="AE31" i="23" a="1"/>
  <c r="AE31" i="23" s="1"/>
  <c r="AC44" i="23" a="1"/>
  <c r="AC44" i="23" s="1"/>
  <c r="AC38" i="23" a="1"/>
  <c r="AC38" i="23" s="1"/>
  <c r="AC32" i="23" a="1"/>
  <c r="AC32" i="23" s="1"/>
  <c r="AL37" i="23" a="1"/>
  <c r="AL37" i="23" s="1"/>
  <c r="AM37" i="23" s="1"/>
  <c r="AQ36" i="23" s="1"/>
  <c r="AH43" i="23" a="1"/>
  <c r="AH43" i="23" s="1"/>
  <c r="AH37" i="23" a="1"/>
  <c r="AH37" i="23" s="1"/>
  <c r="AE41" i="23" a="1"/>
  <c r="AE41" i="23" s="1"/>
  <c r="AB37" i="23" a="1"/>
  <c r="AB37" i="23" s="1"/>
  <c r="AL39" i="23" a="1"/>
  <c r="AL39" i="23" s="1"/>
  <c r="AM39" i="23" s="1"/>
  <c r="AQ38" i="23" s="1"/>
  <c r="AL32" i="23" a="1"/>
  <c r="AL32" i="23" s="1"/>
  <c r="AM32" i="23" s="1"/>
  <c r="AQ31" i="23" s="1"/>
  <c r="AI43" i="23" a="1"/>
  <c r="AI43" i="23" s="1"/>
  <c r="AI40" i="23" a="1"/>
  <c r="AI40" i="23" s="1"/>
  <c r="AI37" i="23" a="1"/>
  <c r="AI37" i="23" s="1"/>
  <c r="AI34" i="23" a="1"/>
  <c r="AI34" i="23" s="1"/>
  <c r="AI31" i="23" a="1"/>
  <c r="AI31" i="23" s="1"/>
  <c r="AF40" i="23" a="1"/>
  <c r="AF40" i="23" s="1"/>
  <c r="AF34" i="23" a="1"/>
  <c r="AF34" i="23" s="1"/>
  <c r="AE42" i="23" a="1"/>
  <c r="AE42" i="23" s="1"/>
  <c r="AE36" i="23" a="1"/>
  <c r="AE36" i="23" s="1"/>
  <c r="AC43" i="23" a="1"/>
  <c r="AC43" i="23" s="1"/>
  <c r="AC37" i="23" a="1"/>
  <c r="AC37" i="23" s="1"/>
  <c r="AC31" i="23" a="1"/>
  <c r="AC31" i="23" s="1"/>
  <c r="AD31" i="23" s="1"/>
  <c r="AL31" i="23" a="1"/>
  <c r="AL31" i="23" s="1"/>
  <c r="AM31" i="23" s="1"/>
  <c r="AQ30" i="23" s="1"/>
  <c r="AH40" i="23" a="1"/>
  <c r="AH40" i="23" s="1"/>
  <c r="AJ40" i="23" s="1"/>
  <c r="AH34" i="23" a="1"/>
  <c r="AH34" i="23" s="1"/>
  <c r="AF33" i="23" a="1"/>
  <c r="AF33" i="23" s="1"/>
  <c r="AL43" i="23" a="1"/>
  <c r="AL43" i="23" s="1"/>
  <c r="AM43" i="23" s="1"/>
  <c r="AQ42" i="23" s="1"/>
  <c r="AL36" i="23" a="1"/>
  <c r="AL36" i="23" s="1"/>
  <c r="AM36" i="23" s="1"/>
  <c r="AQ35" i="23" s="1"/>
  <c r="AI42" i="23" a="1"/>
  <c r="AI42" i="23" s="1"/>
  <c r="AI39" i="23" a="1"/>
  <c r="AI39" i="23" s="1"/>
  <c r="AI36" i="23" a="1"/>
  <c r="AI36" i="23" s="1"/>
  <c r="AI33" i="23" a="1"/>
  <c r="AI33" i="23" s="1"/>
  <c r="AF44" i="23" a="1"/>
  <c r="AF44" i="23" s="1"/>
  <c r="AF38" i="23" a="1"/>
  <c r="AF38" i="23" s="1"/>
  <c r="AF32" i="23" a="1"/>
  <c r="AF32" i="23" s="1"/>
  <c r="AE40" i="23" a="1"/>
  <c r="AE40" i="23" s="1"/>
  <c r="AE34" i="23" a="1"/>
  <c r="AE34" i="23" s="1"/>
  <c r="AC41" i="23" a="1"/>
  <c r="AC41" i="23" s="1"/>
  <c r="AC35" i="23" a="1"/>
  <c r="AC35" i="23" s="1"/>
  <c r="AC36" i="23" a="1"/>
  <c r="AC36" i="23" s="1"/>
  <c r="AD49" i="18"/>
  <c r="AB35" i="23" a="1"/>
  <c r="AB35" i="23" s="1"/>
  <c r="AB41" i="23" a="1"/>
  <c r="AB41" i="23" s="1"/>
  <c r="AB44" i="23" a="1"/>
  <c r="AB44" i="23" s="1"/>
  <c r="AB39" i="23" a="1"/>
  <c r="AB39" i="23" s="1"/>
  <c r="AB43" i="23" a="1"/>
  <c r="AB43" i="23" s="1"/>
  <c r="AA98" i="23"/>
  <c r="AA104" i="23"/>
  <c r="AB106" i="23"/>
  <c r="AA106" i="23" s="1"/>
  <c r="W136" i="23"/>
  <c r="AB8" i="18"/>
  <c r="AD99" i="18"/>
  <c r="U15" i="18"/>
  <c r="V84" i="18"/>
  <c r="S15" i="18"/>
  <c r="W14" i="23" s="1"/>
  <c r="AB84" i="18"/>
  <c r="Z15" i="18"/>
  <c r="Z84" i="18"/>
  <c r="AB15" i="18"/>
  <c r="AD84" i="18"/>
  <c r="R136" i="18"/>
  <c r="AS40" i="18"/>
  <c r="AS120" i="18"/>
  <c r="AS16" i="18"/>
  <c r="AS29" i="18"/>
  <c r="AD104" i="18"/>
  <c r="AB104" i="18"/>
  <c r="V130" i="18"/>
  <c r="S49" i="18"/>
  <c r="X49" i="18" s="1"/>
  <c r="S64" i="18"/>
  <c r="W63" i="23" s="1"/>
  <c r="AS112" i="18"/>
  <c r="AS114" i="18"/>
  <c r="AB129" i="18"/>
  <c r="V8" i="18"/>
  <c r="U99" i="18"/>
  <c r="S104" i="18"/>
  <c r="W103" i="23" s="1"/>
  <c r="X91" i="18"/>
  <c r="U129" i="18"/>
  <c r="AD8" i="18"/>
  <c r="AB130" i="18"/>
  <c r="V129" i="18"/>
  <c r="V99" i="18"/>
  <c r="U104" i="18"/>
  <c r="V53" i="18"/>
  <c r="Z129" i="18"/>
  <c r="Z99" i="18"/>
  <c r="AB53" i="18"/>
  <c r="U23" i="18"/>
  <c r="AD132" i="18"/>
  <c r="AD75" i="18"/>
  <c r="Z23" i="18"/>
  <c r="AD23" i="18"/>
  <c r="U75" i="18"/>
  <c r="Z75" i="18"/>
  <c r="AS17" i="18"/>
  <c r="S99" i="18"/>
  <c r="X99" i="18" s="1"/>
  <c r="V75" i="18"/>
  <c r="Z34" i="18"/>
  <c r="Z130" i="18"/>
  <c r="S8" i="18"/>
  <c r="X8" i="18" s="1"/>
  <c r="V85" i="18"/>
  <c r="U85" i="18"/>
  <c r="AS66" i="18"/>
  <c r="AS94" i="18"/>
  <c r="Z17" i="18"/>
  <c r="S130" i="18"/>
  <c r="X130" i="18" s="1"/>
  <c r="U8" i="18"/>
  <c r="V49" i="18"/>
  <c r="AB49" i="18"/>
  <c r="AS31" i="18"/>
  <c r="S23" i="18"/>
  <c r="X23" i="18" s="1"/>
  <c r="AS13" i="18"/>
  <c r="AS97" i="18"/>
  <c r="AS131" i="18"/>
  <c r="X93" i="18"/>
  <c r="AB120" i="18"/>
  <c r="Z120" i="18"/>
  <c r="V115" i="18"/>
  <c r="Z85" i="18"/>
  <c r="AD85" i="18"/>
  <c r="AD120" i="18"/>
  <c r="V120" i="18"/>
  <c r="S85" i="18"/>
  <c r="W84" i="23" s="1"/>
  <c r="U120" i="18"/>
  <c r="H43" i="17"/>
  <c r="H44" i="17" s="1"/>
  <c r="S75" i="18"/>
  <c r="X75" i="18" s="1"/>
  <c r="S115" i="18"/>
  <c r="W114" i="23" s="1"/>
  <c r="U115" i="18"/>
  <c r="AS129" i="18"/>
  <c r="U83" i="18"/>
  <c r="Z83" i="18"/>
  <c r="AD83" i="18"/>
  <c r="S83" i="18"/>
  <c r="X83" i="18" s="1"/>
  <c r="R145" i="23"/>
  <c r="V113" i="18"/>
  <c r="Z53" i="18"/>
  <c r="S53" i="18"/>
  <c r="W52" i="23" s="1"/>
  <c r="AB19" i="18"/>
  <c r="AD115" i="18"/>
  <c r="S146" i="22"/>
  <c r="S113" i="18"/>
  <c r="W112" i="23" s="1"/>
  <c r="X21" i="18"/>
  <c r="AD53" i="18"/>
  <c r="Z113" i="18"/>
  <c r="AD113" i="18"/>
  <c r="U30" i="18"/>
  <c r="Z12" i="18"/>
  <c r="V12" i="18"/>
  <c r="AB12" i="18"/>
  <c r="S12" i="18"/>
  <c r="W11" i="23" s="1"/>
  <c r="AS125" i="18"/>
  <c r="U12" i="18"/>
  <c r="U72" i="18"/>
  <c r="Z115" i="18"/>
  <c r="AS93" i="18"/>
  <c r="AS111" i="18"/>
  <c r="E16" i="17"/>
  <c r="W123" i="23"/>
  <c r="X124" i="18"/>
  <c r="V95" i="18"/>
  <c r="V17" i="18"/>
  <c r="AD105" i="18"/>
  <c r="V18" i="18"/>
  <c r="AB17" i="18"/>
  <c r="U17" i="18"/>
  <c r="AB105" i="18"/>
  <c r="S19" i="18"/>
  <c r="W18" i="23" s="1"/>
  <c r="V19" i="18"/>
  <c r="U123" i="18"/>
  <c r="AD6" i="18"/>
  <c r="Z30" i="18"/>
  <c r="U116" i="18"/>
  <c r="S46" i="18"/>
  <c r="W45" i="23" s="1"/>
  <c r="Z19" i="18"/>
  <c r="S17" i="18"/>
  <c r="W16" i="23" s="1"/>
  <c r="U19" i="18"/>
  <c r="E15" i="17"/>
  <c r="V72" i="18"/>
  <c r="U36" i="18"/>
  <c r="AB36" i="18"/>
  <c r="AD116" i="18"/>
  <c r="Z116" i="18"/>
  <c r="S72" i="18"/>
  <c r="W71" i="23" s="1"/>
  <c r="V116" i="18"/>
  <c r="AD72" i="18"/>
  <c r="AS50" i="18"/>
  <c r="S105" i="18"/>
  <c r="X105" i="18" s="1"/>
  <c r="Z105" i="18"/>
  <c r="AD18" i="18"/>
  <c r="S18" i="18"/>
  <c r="W17" i="23" s="1"/>
  <c r="AB6" i="18"/>
  <c r="X114" i="18"/>
  <c r="U18" i="18"/>
  <c r="Z18" i="18"/>
  <c r="V6" i="18"/>
  <c r="Z82" i="18"/>
  <c r="S6" i="18"/>
  <c r="W5" i="23" s="1"/>
  <c r="S82" i="18"/>
  <c r="W81" i="23" s="1"/>
  <c r="U6" i="18"/>
  <c r="AB123" i="18"/>
  <c r="V105" i="18"/>
  <c r="V123" i="18"/>
  <c r="AB113" i="18"/>
  <c r="Z123" i="18"/>
  <c r="AD82" i="18"/>
  <c r="AB30" i="18"/>
  <c r="Z72" i="18"/>
  <c r="U82" i="18"/>
  <c r="V82" i="18"/>
  <c r="S116" i="18"/>
  <c r="X116" i="18" s="1"/>
  <c r="U95" i="18"/>
  <c r="U68" i="18"/>
  <c r="X81" i="18"/>
  <c r="AD68" i="18"/>
  <c r="V43" i="18"/>
  <c r="R307" i="1"/>
  <c r="R308" i="1"/>
  <c r="U132" i="18"/>
  <c r="V36" i="18"/>
  <c r="V109" i="18"/>
  <c r="S132" i="18"/>
  <c r="X132" i="18" s="1"/>
  <c r="Z36" i="18"/>
  <c r="Z109" i="18"/>
  <c r="AD36" i="18"/>
  <c r="U109" i="18"/>
  <c r="Z132" i="18"/>
  <c r="V132" i="18"/>
  <c r="U51" i="18"/>
  <c r="AS51" i="18"/>
  <c r="S109" i="18"/>
  <c r="W108" i="23" s="1"/>
  <c r="AD109" i="18"/>
  <c r="U87" i="18"/>
  <c r="AB34" i="18"/>
  <c r="S96" i="18"/>
  <c r="V117" i="18"/>
  <c r="S123" i="18"/>
  <c r="W122" i="23" s="1"/>
  <c r="X58" i="18"/>
  <c r="U34" i="18"/>
  <c r="X68" i="18"/>
  <c r="V34" i="18"/>
  <c r="AD34" i="18"/>
  <c r="V28" i="18"/>
  <c r="AB79" i="18"/>
  <c r="X31" i="18"/>
  <c r="AB43" i="18"/>
  <c r="Z43" i="18"/>
  <c r="AD87" i="18"/>
  <c r="Z87" i="18"/>
  <c r="U100" i="18"/>
  <c r="P307" i="1"/>
  <c r="P308" i="1"/>
  <c r="M308" i="1"/>
  <c r="M307" i="1"/>
  <c r="N308" i="1"/>
  <c r="N307" i="1"/>
  <c r="Q308" i="1"/>
  <c r="Q307" i="1"/>
  <c r="L308" i="1"/>
  <c r="L307" i="1"/>
  <c r="O308" i="1"/>
  <c r="O307" i="1"/>
  <c r="K303" i="1"/>
  <c r="J303" i="1"/>
  <c r="I303" i="1"/>
  <c r="H303" i="1"/>
  <c r="J19" i="17"/>
  <c r="J20" i="17" s="1"/>
  <c r="I30" i="17"/>
  <c r="I31" i="17" s="1"/>
  <c r="J30" i="17"/>
  <c r="J31" i="17" s="1"/>
  <c r="I43" i="17"/>
  <c r="I44" i="17" s="1"/>
  <c r="AE136" i="22"/>
  <c r="I28" i="17"/>
  <c r="I29" i="17" s="1"/>
  <c r="K43" i="17"/>
  <c r="K44" i="17" s="1"/>
  <c r="K30" i="17"/>
  <c r="K31" i="17" s="1"/>
  <c r="W137" i="23"/>
  <c r="AI139" i="22"/>
  <c r="AL139" i="22" s="1"/>
  <c r="J28" i="17"/>
  <c r="J29" i="17" s="1"/>
  <c r="E9" i="17"/>
  <c r="V79" i="18"/>
  <c r="AD30" i="18"/>
  <c r="Z68" i="18"/>
  <c r="AB68" i="18"/>
  <c r="Z110" i="18"/>
  <c r="S79" i="18"/>
  <c r="W78" i="23" s="1"/>
  <c r="U79" i="18"/>
  <c r="V110" i="18"/>
  <c r="AB44" i="18"/>
  <c r="AD79" i="18"/>
  <c r="U110" i="18"/>
  <c r="AB28" i="18"/>
  <c r="AD51" i="18"/>
  <c r="AD110" i="18"/>
  <c r="AB51" i="18"/>
  <c r="V68" i="18"/>
  <c r="J17" i="17"/>
  <c r="J18" i="17" s="1"/>
  <c r="W138" i="23"/>
  <c r="M136" i="22"/>
  <c r="L145" i="23" s="1"/>
  <c r="AI140" i="22"/>
  <c r="AL140" i="22" s="1"/>
  <c r="AD9" i="23"/>
  <c r="AB24" i="23"/>
  <c r="AJ11" i="23"/>
  <c r="AB96" i="18"/>
  <c r="AD28" i="18"/>
  <c r="Z96" i="18"/>
  <c r="Z66" i="18"/>
  <c r="Z28" i="18"/>
  <c r="AB100" i="18"/>
  <c r="V66" i="18"/>
  <c r="S28" i="18"/>
  <c r="W27" i="23" s="1"/>
  <c r="AB66" i="18"/>
  <c r="S100" i="18"/>
  <c r="W99" i="23" s="1"/>
  <c r="U66" i="18"/>
  <c r="Z100" i="18"/>
  <c r="AB87" i="18"/>
  <c r="AD66" i="18"/>
  <c r="AB94" i="18"/>
  <c r="AD96" i="18"/>
  <c r="S87" i="18"/>
  <c r="X16" i="18"/>
  <c r="W97" i="23"/>
  <c r="X9" i="18"/>
  <c r="V100" i="18"/>
  <c r="W32" i="23"/>
  <c r="U96" i="18"/>
  <c r="AD94" i="18"/>
  <c r="X89" i="18"/>
  <c r="AB9" i="18"/>
  <c r="U94" i="18"/>
  <c r="AD44" i="18"/>
  <c r="X103" i="18"/>
  <c r="S44" i="18"/>
  <c r="W43" i="23" s="1"/>
  <c r="Z94" i="18"/>
  <c r="V44" i="18"/>
  <c r="V94" i="18"/>
  <c r="AD117" i="18"/>
  <c r="S117" i="18"/>
  <c r="Z117" i="18"/>
  <c r="AB117" i="18"/>
  <c r="Z44" i="18"/>
  <c r="AS101" i="18"/>
  <c r="E21" i="17"/>
  <c r="X102" i="18"/>
  <c r="D19" i="17"/>
  <c r="AD69" i="18"/>
  <c r="W10" i="23"/>
  <c r="AB95" i="18"/>
  <c r="W75" i="23"/>
  <c r="Z95" i="18"/>
  <c r="V51" i="18"/>
  <c r="H26" i="17"/>
  <c r="H28" i="17" s="1"/>
  <c r="H29" i="17" s="1"/>
  <c r="AB69" i="18"/>
  <c r="W41" i="23"/>
  <c r="E14" i="17"/>
  <c r="X61" i="18"/>
  <c r="V69" i="18"/>
  <c r="S69" i="18"/>
  <c r="W65" i="23"/>
  <c r="X86" i="18"/>
  <c r="U9" i="18"/>
  <c r="Z9" i="18"/>
  <c r="AD9" i="18"/>
  <c r="V9" i="18"/>
  <c r="W93" i="23"/>
  <c r="S95" i="18"/>
  <c r="X95" i="18" s="1"/>
  <c r="AD46" i="18"/>
  <c r="Z46" i="18"/>
  <c r="AB46" i="18"/>
  <c r="U46" i="18"/>
  <c r="V46" i="18"/>
  <c r="X77" i="18"/>
  <c r="U69" i="18"/>
  <c r="Z16" i="18"/>
  <c r="V80" i="18"/>
  <c r="X45" i="18"/>
  <c r="Q137" i="18"/>
  <c r="W53" i="23"/>
  <c r="AD80" i="18"/>
  <c r="V16" i="18"/>
  <c r="U16" i="18"/>
  <c r="Z65" i="18"/>
  <c r="AB16" i="18"/>
  <c r="Z80" i="18"/>
  <c r="S80" i="18"/>
  <c r="X80" i="18" s="1"/>
  <c r="X120" i="18"/>
  <c r="AD16" i="18"/>
  <c r="S52" i="18"/>
  <c r="W51" i="23" s="1"/>
  <c r="AD112" i="18"/>
  <c r="U80" i="18"/>
  <c r="X74" i="18"/>
  <c r="AD17" i="23"/>
  <c r="R138" i="18"/>
  <c r="B57" i="17"/>
  <c r="E57" i="17" s="1"/>
  <c r="AB52" i="18"/>
  <c r="AD52" i="18"/>
  <c r="AB13" i="18"/>
  <c r="V52" i="18"/>
  <c r="U52" i="18"/>
  <c r="AB110" i="18"/>
  <c r="B27" i="17"/>
  <c r="E22" i="17"/>
  <c r="D13" i="17"/>
  <c r="AD43" i="18"/>
  <c r="X10" i="18"/>
  <c r="S51" i="18"/>
  <c r="W50" i="23" s="1"/>
  <c r="W66" i="23"/>
  <c r="B28" i="17"/>
  <c r="S63" i="18"/>
  <c r="Z63" i="18"/>
  <c r="V118" i="18"/>
  <c r="V63" i="18"/>
  <c r="S43" i="18"/>
  <c r="X43" i="18" s="1"/>
  <c r="D27" i="17"/>
  <c r="X97" i="18"/>
  <c r="U63" i="18"/>
  <c r="AD118" i="18"/>
  <c r="U118" i="18"/>
  <c r="AD63" i="18"/>
  <c r="AB118" i="18"/>
  <c r="AJ19" i="23"/>
  <c r="H136" i="22"/>
  <c r="AD15" i="23"/>
  <c r="AG17" i="23"/>
  <c r="AF136" i="22"/>
  <c r="T136" i="22"/>
  <c r="T133" i="22"/>
  <c r="K17" i="17"/>
  <c r="K18" i="17" s="1"/>
  <c r="K28" i="17"/>
  <c r="K29" i="17" s="1"/>
  <c r="AI134" i="22"/>
  <c r="AL136" i="22" s="1"/>
  <c r="AI141" i="22"/>
  <c r="AL141" i="22" s="1"/>
  <c r="E49" i="17"/>
  <c r="W120" i="23"/>
  <c r="X121" i="18"/>
  <c r="W59" i="23"/>
  <c r="G143" i="23"/>
  <c r="G144" i="22"/>
  <c r="G146" i="22"/>
  <c r="H133" i="23"/>
  <c r="G145" i="23"/>
  <c r="V67" i="18"/>
  <c r="AB67" i="18"/>
  <c r="U67" i="18"/>
  <c r="Z67" i="18"/>
  <c r="H143" i="23"/>
  <c r="H144" i="22"/>
  <c r="AP137" i="18"/>
  <c r="W28" i="23"/>
  <c r="X29" i="18"/>
  <c r="S118" i="18"/>
  <c r="W117" i="23" s="1"/>
  <c r="Z40" i="18"/>
  <c r="W55" i="23"/>
  <c r="W111" i="23"/>
  <c r="X112" i="18"/>
  <c r="G145" i="22"/>
  <c r="G144" i="23"/>
  <c r="AB7" i="18"/>
  <c r="AB38" i="18"/>
  <c r="U38" i="18"/>
  <c r="S38" i="18"/>
  <c r="V38" i="18"/>
  <c r="Z38" i="18"/>
  <c r="X106" i="18"/>
  <c r="W105" i="23"/>
  <c r="W106" i="23"/>
  <c r="X107" i="18"/>
  <c r="W118" i="23"/>
  <c r="X119" i="18"/>
  <c r="Z112" i="18"/>
  <c r="AB112" i="18"/>
  <c r="V112" i="18"/>
  <c r="U112" i="18"/>
  <c r="B19" i="17"/>
  <c r="O8" i="17" s="1"/>
  <c r="Z121" i="18"/>
  <c r="U121" i="18"/>
  <c r="V121" i="18"/>
  <c r="AB121" i="18"/>
  <c r="X73" i="18"/>
  <c r="AD121" i="18"/>
  <c r="G143" i="22"/>
  <c r="G142" i="23"/>
  <c r="R137" i="18"/>
  <c r="Z7" i="18"/>
  <c r="H142" i="23"/>
  <c r="H143" i="22"/>
  <c r="P137" i="18"/>
  <c r="U133" i="23"/>
  <c r="D55" i="17"/>
  <c r="W77" i="23"/>
  <c r="H145" i="22"/>
  <c r="H144" i="23"/>
  <c r="C19" i="17"/>
  <c r="E20" i="17"/>
  <c r="F145" i="23"/>
  <c r="AD67" i="18"/>
  <c r="AR138" i="18"/>
  <c r="AR137" i="18"/>
  <c r="AB32" i="18"/>
  <c r="P143" i="23"/>
  <c r="Q144" i="22"/>
  <c r="W109" i="23"/>
  <c r="X110" i="18"/>
  <c r="AD7" i="18"/>
  <c r="AK139" i="22"/>
  <c r="W110" i="23"/>
  <c r="X111" i="18"/>
  <c r="P145" i="23"/>
  <c r="Q146" i="22"/>
  <c r="AK140" i="22"/>
  <c r="P134" i="18"/>
  <c r="V7" i="18"/>
  <c r="W69" i="23"/>
  <c r="X70" i="18"/>
  <c r="D26" i="17"/>
  <c r="S7" i="18"/>
  <c r="W6" i="23" s="1"/>
  <c r="P144" i="23"/>
  <c r="Q145" i="22"/>
  <c r="AR136" i="18"/>
  <c r="P145" i="22"/>
  <c r="O144" i="23"/>
  <c r="B43" i="17"/>
  <c r="E43" i="17" s="1"/>
  <c r="Z32" i="18"/>
  <c r="AD32" i="18"/>
  <c r="V32" i="18"/>
  <c r="U32" i="18"/>
  <c r="S144" i="23"/>
  <c r="T145" i="22"/>
  <c r="AB122" i="18"/>
  <c r="AQ137" i="18"/>
  <c r="V122" i="18"/>
  <c r="AD122" i="18"/>
  <c r="Z122" i="18"/>
  <c r="S122" i="18"/>
  <c r="U122" i="18"/>
  <c r="R144" i="23"/>
  <c r="S145" i="22"/>
  <c r="O143" i="23"/>
  <c r="P144" i="22"/>
  <c r="AB57" i="18"/>
  <c r="X101" i="18"/>
  <c r="W100" i="23"/>
  <c r="B58" i="17"/>
  <c r="E58" i="17" s="1"/>
  <c r="W58" i="23"/>
  <c r="X59" i="18"/>
  <c r="AK136" i="22"/>
  <c r="Q145" i="23"/>
  <c r="Q134" i="18"/>
  <c r="T143" i="22"/>
  <c r="S142" i="23"/>
  <c r="AD131" i="18"/>
  <c r="Z131" i="18"/>
  <c r="U131" i="18"/>
  <c r="S131" i="18"/>
  <c r="V131" i="18"/>
  <c r="AB14" i="18"/>
  <c r="O142" i="23"/>
  <c r="P143" i="22"/>
  <c r="S143" i="23"/>
  <c r="T144" i="22"/>
  <c r="Z57" i="18"/>
  <c r="V57" i="18"/>
  <c r="AD57" i="18"/>
  <c r="U57" i="18"/>
  <c r="S57" i="18"/>
  <c r="D28" i="17"/>
  <c r="R143" i="23"/>
  <c r="S144" i="22"/>
  <c r="AD13" i="18"/>
  <c r="V13" i="18"/>
  <c r="U13" i="18"/>
  <c r="S13" i="18"/>
  <c r="Z13" i="18"/>
  <c r="S32" i="18"/>
  <c r="C13" i="17"/>
  <c r="S22" i="18"/>
  <c r="Q136" i="18"/>
  <c r="Z14" i="18"/>
  <c r="U14" i="18"/>
  <c r="AD14" i="18"/>
  <c r="V14" i="18"/>
  <c r="S14" i="18"/>
  <c r="B13" i="17"/>
  <c r="Q8" i="17" s="1"/>
  <c r="AK141" i="22"/>
  <c r="Q138" i="18"/>
  <c r="Q143" i="22"/>
  <c r="P142" i="23"/>
  <c r="E45" i="17"/>
  <c r="AB131" i="18"/>
  <c r="AP136" i="18"/>
  <c r="P133" i="23"/>
  <c r="P146" i="22"/>
  <c r="O145" i="23"/>
  <c r="R142" i="23"/>
  <c r="S143" i="22"/>
  <c r="C27" i="17"/>
  <c r="Z50" i="18"/>
  <c r="N145" i="23"/>
  <c r="AR134" i="18"/>
  <c r="B7" i="17"/>
  <c r="B26" i="17"/>
  <c r="B56" i="17"/>
  <c r="B37" i="17"/>
  <c r="E37" i="17" s="1"/>
  <c r="W36" i="23"/>
  <c r="X37" i="18"/>
  <c r="W61" i="23"/>
  <c r="X62" i="18"/>
  <c r="Z126" i="18"/>
  <c r="AB20" i="18"/>
  <c r="V20" i="18"/>
  <c r="AD20" i="18"/>
  <c r="U20" i="18"/>
  <c r="S20" i="18"/>
  <c r="W70" i="23"/>
  <c r="X71" i="18"/>
  <c r="AD41" i="18"/>
  <c r="U41" i="18"/>
  <c r="AB41" i="18"/>
  <c r="S41" i="18"/>
  <c r="V41" i="18"/>
  <c r="Z27" i="18"/>
  <c r="Z25" i="18"/>
  <c r="D7" i="17"/>
  <c r="S27" i="18"/>
  <c r="V27" i="18"/>
  <c r="AB27" i="18"/>
  <c r="U27" i="18"/>
  <c r="AD27" i="18"/>
  <c r="J66" i="17"/>
  <c r="J69" i="17" s="1"/>
  <c r="J52" i="17"/>
  <c r="J53" i="17" s="1"/>
  <c r="J54" i="17"/>
  <c r="J55" i="17" s="1"/>
  <c r="Z41" i="18"/>
  <c r="M144" i="22"/>
  <c r="L143" i="23"/>
  <c r="E40" i="17"/>
  <c r="V126" i="18"/>
  <c r="U126" i="18"/>
  <c r="AB126" i="18"/>
  <c r="AD126" i="18"/>
  <c r="S126" i="18"/>
  <c r="AB125" i="18"/>
  <c r="AD125" i="18"/>
  <c r="V125" i="18"/>
  <c r="U125" i="18"/>
  <c r="K66" i="17"/>
  <c r="K69" i="17" s="1"/>
  <c r="K52" i="17"/>
  <c r="K53" i="17" s="1"/>
  <c r="K54" i="17"/>
  <c r="K55" i="17" s="1"/>
  <c r="L144" i="23"/>
  <c r="M145" i="22"/>
  <c r="AJ17" i="23"/>
  <c r="K143" i="23"/>
  <c r="L144" i="22"/>
  <c r="AS89" i="18"/>
  <c r="E38" i="17"/>
  <c r="X134" i="18"/>
  <c r="U65" i="18"/>
  <c r="V65" i="18"/>
  <c r="AD65" i="18"/>
  <c r="AB65" i="18"/>
  <c r="S65" i="18"/>
  <c r="W25" i="23"/>
  <c r="X26" i="18"/>
  <c r="L142" i="23"/>
  <c r="M143" i="22"/>
  <c r="AG19" i="23"/>
  <c r="J145" i="23"/>
  <c r="R134" i="18"/>
  <c r="C55" i="17"/>
  <c r="AH24" i="23"/>
  <c r="S125" i="18"/>
  <c r="AE24" i="23"/>
  <c r="V25" i="18"/>
  <c r="AD25" i="18"/>
  <c r="AB25" i="18"/>
  <c r="U25" i="18"/>
  <c r="S25" i="18"/>
  <c r="P136" i="18"/>
  <c r="C7" i="17"/>
  <c r="E8" i="17"/>
  <c r="C26" i="17"/>
  <c r="K142" i="23"/>
  <c r="L143" i="22"/>
  <c r="AD11" i="23"/>
  <c r="K145" i="23"/>
  <c r="L133" i="23"/>
  <c r="L146" i="22"/>
  <c r="AD10" i="23"/>
  <c r="E10" i="17"/>
  <c r="C28" i="17"/>
  <c r="AB50" i="18"/>
  <c r="S50" i="18"/>
  <c r="U50" i="18"/>
  <c r="AD50" i="18"/>
  <c r="V50" i="18"/>
  <c r="U40" i="18"/>
  <c r="AD40" i="18"/>
  <c r="AB40" i="18"/>
  <c r="V40" i="18"/>
  <c r="S40" i="18"/>
  <c r="AP134" i="18"/>
  <c r="AP138" i="18"/>
  <c r="Z125" i="18"/>
  <c r="P138" i="18"/>
  <c r="K144" i="23"/>
  <c r="L145" i="22"/>
  <c r="Z20" i="18"/>
  <c r="S30" i="18"/>
  <c r="W126" i="23"/>
  <c r="X127" i="18"/>
  <c r="H17" i="17"/>
  <c r="H18" i="17" s="1"/>
  <c r="H19" i="17"/>
  <c r="H20" i="17" s="1"/>
  <c r="AS45" i="18"/>
  <c r="AQ136" i="18"/>
  <c r="AS5" i="18"/>
  <c r="AQ138" i="18"/>
  <c r="AQ134" i="18"/>
  <c r="I50" i="17"/>
  <c r="H33" i="17"/>
  <c r="AD32" i="23" l="1"/>
  <c r="AD36" i="23"/>
  <c r="H145" i="23"/>
  <c r="AJ32" i="23"/>
  <c r="AG31" i="23"/>
  <c r="AJ39" i="23"/>
  <c r="AG32" i="23"/>
  <c r="AG39" i="23"/>
  <c r="AD40" i="23"/>
  <c r="AD37" i="23"/>
  <c r="AE46" i="23"/>
  <c r="AJ33" i="23"/>
  <c r="W91" i="23"/>
  <c r="X48" i="18"/>
  <c r="X55" i="18"/>
  <c r="W4" i="23"/>
  <c r="W34" i="23"/>
  <c r="W33" i="23"/>
  <c r="X129" i="18"/>
  <c r="U145" i="23"/>
  <c r="X108" i="18"/>
  <c r="X90" i="18"/>
  <c r="W35" i="23"/>
  <c r="X24" i="18"/>
  <c r="X88" i="18"/>
  <c r="U142" i="23"/>
  <c r="U144" i="23"/>
  <c r="X128" i="18"/>
  <c r="U143" i="23"/>
  <c r="P8" i="17"/>
  <c r="V136" i="18"/>
  <c r="U136" i="18"/>
  <c r="V137" i="18"/>
  <c r="U137" i="18"/>
  <c r="X39" i="18"/>
  <c r="W83" i="23"/>
  <c r="AH46" i="23"/>
  <c r="AG40" i="23"/>
  <c r="AD33" i="23"/>
  <c r="AJ31" i="23"/>
  <c r="AG33" i="23"/>
  <c r="AB46" i="23"/>
  <c r="W48" i="23"/>
  <c r="AD39" i="23"/>
  <c r="W98" i="23"/>
  <c r="X15" i="18"/>
  <c r="X64" i="18"/>
  <c r="X104" i="18"/>
  <c r="W7" i="23"/>
  <c r="W129" i="23"/>
  <c r="W74" i="23"/>
  <c r="W22" i="23"/>
  <c r="X85" i="18"/>
  <c r="X12" i="18"/>
  <c r="X113" i="18"/>
  <c r="X53" i="18"/>
  <c r="W82" i="23"/>
  <c r="X115" i="18"/>
  <c r="W104" i="23"/>
  <c r="X19" i="18"/>
  <c r="X109" i="18"/>
  <c r="X123" i="18"/>
  <c r="X46" i="18"/>
  <c r="X18" i="18"/>
  <c r="X17" i="18"/>
  <c r="W115" i="23"/>
  <c r="X82" i="18"/>
  <c r="H30" i="17"/>
  <c r="H31" i="17" s="1"/>
  <c r="X72" i="18"/>
  <c r="X6" i="18"/>
  <c r="W131" i="23"/>
  <c r="X96" i="18"/>
  <c r="W95" i="23"/>
  <c r="X79" i="18"/>
  <c r="H308" i="1"/>
  <c r="H307" i="1"/>
  <c r="I308" i="1"/>
  <c r="I307" i="1"/>
  <c r="J307" i="1"/>
  <c r="J308" i="1"/>
  <c r="K308" i="1"/>
  <c r="K307" i="1"/>
  <c r="X44" i="18"/>
  <c r="X28" i="18"/>
  <c r="AK25" i="23"/>
  <c r="M146" i="22"/>
  <c r="W86" i="23"/>
  <c r="X87" i="18"/>
  <c r="S137" i="18"/>
  <c r="X100" i="18"/>
  <c r="H146" i="22"/>
  <c r="W94" i="23"/>
  <c r="X117" i="18"/>
  <c r="W116" i="23"/>
  <c r="W68" i="23"/>
  <c r="X69" i="18"/>
  <c r="W79" i="23"/>
  <c r="X52" i="18"/>
  <c r="E27" i="17"/>
  <c r="D25" i="17"/>
  <c r="W42" i="23"/>
  <c r="S138" i="18"/>
  <c r="X7" i="18"/>
  <c r="E13" i="17"/>
  <c r="X137" i="18"/>
  <c r="X118" i="18"/>
  <c r="E7" i="17"/>
  <c r="X51" i="18"/>
  <c r="AS137" i="18"/>
  <c r="W62" i="23"/>
  <c r="X63" i="18"/>
  <c r="B25" i="17"/>
  <c r="R8" i="17" s="1"/>
  <c r="AS138" i="18"/>
  <c r="E28" i="17"/>
  <c r="S145" i="23"/>
  <c r="T146" i="22"/>
  <c r="W37" i="23"/>
  <c r="X38" i="18"/>
  <c r="E19" i="17"/>
  <c r="W31" i="23"/>
  <c r="X32" i="18"/>
  <c r="AS136" i="18"/>
  <c r="V134" i="18"/>
  <c r="W130" i="23"/>
  <c r="X131" i="18"/>
  <c r="U134" i="18"/>
  <c r="W21" i="23"/>
  <c r="X22" i="18"/>
  <c r="B55" i="17"/>
  <c r="E55" i="17" s="1"/>
  <c r="X13" i="18"/>
  <c r="W12" i="23"/>
  <c r="S134" i="18"/>
  <c r="W121" i="23"/>
  <c r="X122" i="18"/>
  <c r="X57" i="18"/>
  <c r="W56" i="23"/>
  <c r="W13" i="23"/>
  <c r="X14" i="18"/>
  <c r="E56" i="17"/>
  <c r="AS134" i="18"/>
  <c r="W29" i="23"/>
  <c r="X30" i="18"/>
  <c r="W19" i="23"/>
  <c r="X20" i="18"/>
  <c r="H50" i="17"/>
  <c r="I66" i="17"/>
  <c r="I52" i="17"/>
  <c r="I53" i="17" s="1"/>
  <c r="I54" i="17"/>
  <c r="I55" i="17" s="1"/>
  <c r="E26" i="17"/>
  <c r="C25" i="17"/>
  <c r="W49" i="23"/>
  <c r="X50" i="18"/>
  <c r="X138" i="18"/>
  <c r="U138" i="18"/>
  <c r="V138" i="18"/>
  <c r="X136" i="18"/>
  <c r="S136" i="18"/>
  <c r="W40" i="23"/>
  <c r="X41" i="18"/>
  <c r="W24" i="23"/>
  <c r="X25" i="18"/>
  <c r="W125" i="23"/>
  <c r="X126" i="18"/>
  <c r="W124" i="23"/>
  <c r="X125" i="18"/>
  <c r="W39" i="23"/>
  <c r="X40" i="18"/>
  <c r="W26" i="23"/>
  <c r="X27" i="18"/>
  <c r="W64" i="23"/>
  <c r="X65" i="18"/>
  <c r="Y138" i="23" l="1"/>
  <c r="Y135" i="23"/>
  <c r="E25" i="17"/>
  <c r="Y136" i="23"/>
  <c r="Y137" i="23"/>
  <c r="H66" i="17"/>
  <c r="I69" i="17"/>
  <c r="H69" i="17" s="1"/>
  <c r="H54" i="17"/>
  <c r="H55" i="17" s="1"/>
  <c r="H52" i="17"/>
  <c r="H53" i="17" s="1"/>
  <c r="H71" i="17" l="1"/>
  <c r="H7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tc={90F08FD8-4ED3-4972-B8CB-476BC6A02147}</author>
  </authors>
  <commentList>
    <comment ref="C96" authorId="0" shapeId="0" xr:uid="{90F08FD8-4ED3-4972-B8CB-476BC6A02147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MSWA 2022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tc={083C553F-9521-479B-A9ED-D556B4A4C6D2}</author>
  </authors>
  <commentList>
    <comment ref="C96" authorId="0" shapeId="0" xr:uid="{083C553F-9521-479B-A9ED-D556B4A4C6D2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MSWA 2022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tc={5A5E0139-F5D2-42A5-8E92-31E74DE79B4D}</author>
  </authors>
  <commentList>
    <comment ref="C97" authorId="0" shapeId="0" xr:uid="{5A5E0139-F5D2-42A5-8E92-31E74DE79B4D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MSWA 2022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tc={4EFA8666-3D52-40EC-B274-AAE9053ADD60}</author>
  </authors>
  <commentList>
    <comment ref="C96" authorId="0" shapeId="0" xr:uid="{4EFA8666-3D52-40EC-B274-AAE9053ADD60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MSWA 2022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tc={A61F2C1E-C999-4BDD-96A7-BF434C2C0586}</author>
  </authors>
  <commentList>
    <comment ref="C96" authorId="0" shapeId="0" xr:uid="{A61F2C1E-C999-4BDD-96A7-BF434C2C0586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MSWA 2022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tc={897FE04B-EF86-4F5A-BB30-E4D3DC3F1972}</author>
  </authors>
  <commentList>
    <comment ref="C96" authorId="0" shapeId="0" xr:uid="{897FE04B-EF86-4F5A-BB30-E4D3DC3F1972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MSWA 2022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tc={06A93AB1-5ABF-46E8-AD94-6F92FC0997B5}</author>
  </authors>
  <commentList>
    <comment ref="C95" authorId="0" shapeId="0" xr:uid="{06A93AB1-5ABF-46E8-AD94-6F92FC0997B5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MSWA 2022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tc={D4CF68C9-379B-4226-85AC-52992D577062}</author>
  </authors>
  <commentList>
    <comment ref="C95" authorId="0" shapeId="0" xr:uid="{D4CF68C9-379B-4226-85AC-52992D577062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MSWA 2022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<sst xmlns="http://schemas.openxmlformats.org/spreadsheetml/2006/main" count="5850" uniqueCount="543">
  <si>
    <t>Total</t>
  </si>
  <si>
    <t>N</t>
  </si>
  <si>
    <t>S</t>
  </si>
  <si>
    <t>R</t>
  </si>
  <si>
    <t>Region</t>
  </si>
  <si>
    <t>Council Name</t>
  </si>
  <si>
    <t>ABS</t>
  </si>
  <si>
    <t>NSW</t>
  </si>
  <si>
    <t>SMA</t>
  </si>
  <si>
    <t>ERA</t>
  </si>
  <si>
    <t>RRA</t>
  </si>
  <si>
    <t>Rest of the State</t>
  </si>
  <si>
    <t>Councils</t>
  </si>
  <si>
    <t>F</t>
  </si>
  <si>
    <t>Regional Groups</t>
  </si>
  <si>
    <t>RAMROC Murray</t>
  </si>
  <si>
    <t>NIRW</t>
  </si>
  <si>
    <t>SSROC</t>
  </si>
  <si>
    <t>WSROC</t>
  </si>
  <si>
    <t>NEWF</t>
  </si>
  <si>
    <t>CBRJO</t>
  </si>
  <si>
    <t>REROC</t>
  </si>
  <si>
    <t>RAMROC Riverina</t>
  </si>
  <si>
    <t>Hunter</t>
  </si>
  <si>
    <t>NSROC</t>
  </si>
  <si>
    <t>Top</t>
  </si>
  <si>
    <t>Count</t>
  </si>
  <si>
    <t>Sum</t>
  </si>
  <si>
    <t>Min</t>
  </si>
  <si>
    <t>Max</t>
  </si>
  <si>
    <t>Ave</t>
  </si>
  <si>
    <t>Median</t>
  </si>
  <si>
    <t>HUNTER</t>
  </si>
  <si>
    <t>Unincorporated</t>
  </si>
  <si>
    <t>LGA Code</t>
  </si>
  <si>
    <t>NEW LGA code</t>
  </si>
  <si>
    <t>NEW Council Name</t>
  </si>
  <si>
    <t>ISJO</t>
  </si>
  <si>
    <t>NetWaste</t>
  </si>
  <si>
    <t>MidWaste</t>
  </si>
  <si>
    <t>Un.Inc.</t>
  </si>
  <si>
    <t>LGA code</t>
  </si>
  <si>
    <t>Coffs Harbour</t>
  </si>
  <si>
    <t>hh</t>
  </si>
  <si>
    <t>Bellingen</t>
  </si>
  <si>
    <t>Blacktown</t>
  </si>
  <si>
    <t>Campbelltown</t>
  </si>
  <si>
    <t>Cumberland</t>
  </si>
  <si>
    <t>Georges River</t>
  </si>
  <si>
    <t>Hunters Hill</t>
  </si>
  <si>
    <t>Inner West</t>
  </si>
  <si>
    <t>Ku-ring-gai</t>
  </si>
  <si>
    <t>Lane Cove</t>
  </si>
  <si>
    <t>Liverpool</t>
  </si>
  <si>
    <t>Nambucca</t>
  </si>
  <si>
    <t>North Sydney</t>
  </si>
  <si>
    <t>Parramatta</t>
  </si>
  <si>
    <t>Penrith</t>
  </si>
  <si>
    <t>Port Stephens</t>
  </si>
  <si>
    <t>Randwick</t>
  </si>
  <si>
    <t>Ryde</t>
  </si>
  <si>
    <t>Sydney</t>
  </si>
  <si>
    <t>Waverley</t>
  </si>
  <si>
    <t>Willoughby</t>
  </si>
  <si>
    <t>Wingecarribee</t>
  </si>
  <si>
    <t>Woollahra</t>
  </si>
  <si>
    <t>RAMJO Murray</t>
  </si>
  <si>
    <t>CRJO</t>
  </si>
  <si>
    <t>RAMJO Riverina</t>
  </si>
  <si>
    <t>Camden</t>
  </si>
  <si>
    <t>Gunnedah</t>
  </si>
  <si>
    <t>Albury</t>
  </si>
  <si>
    <t>Armidale Regional</t>
  </si>
  <si>
    <t>Ballina</t>
  </si>
  <si>
    <t>Balranald</t>
  </si>
  <si>
    <t>Bathurst Regional</t>
  </si>
  <si>
    <t>Bega Valley</t>
  </si>
  <si>
    <t>Berrigan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</si>
  <si>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</si>
  <si>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</si>
  <si>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</si>
  <si>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</si>
  <si>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</si>
  <si>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</si>
  <si>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</si>
  <si>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</si>
  <si>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</si>
  <si>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</si>
  <si>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Canada Bay</t>
  </si>
  <si>
    <t>Canterbury-Bankstown</t>
  </si>
  <si>
    <t>Carrathool</t>
  </si>
  <si>
    <t>Central Coast</t>
  </si>
  <si>
    <t>Central Darling</t>
  </si>
  <si>
    <t>Cessnock</t>
  </si>
  <si>
    <t>Clarence Valley</t>
  </si>
  <si>
    <t>Cobar</t>
  </si>
  <si>
    <t>Coolamon</t>
  </si>
  <si>
    <t>Coonamble</t>
  </si>
  <si>
    <t>Cootamundra - Gundagai</t>
  </si>
  <si>
    <t>Cowra</t>
  </si>
  <si>
    <t>Dubbo Regional</t>
  </si>
  <si>
    <t>Dungog</t>
  </si>
  <si>
    <t>Edward River</t>
  </si>
  <si>
    <t>Eurobodalla</t>
  </si>
  <si>
    <t>Fairfield</t>
  </si>
  <si>
    <t>Federation</t>
  </si>
  <si>
    <t>Forbes</t>
  </si>
  <si>
    <t>Gilgandra</t>
  </si>
  <si>
    <t>Glen Innes Severn</t>
  </si>
  <si>
    <t>Goulburn Mulwaree</t>
  </si>
  <si>
    <t>Greater Hume Shire</t>
  </si>
  <si>
    <t>Griffith</t>
  </si>
  <si>
    <t>Gwydir</t>
  </si>
  <si>
    <t>Hawkesbury</t>
  </si>
  <si>
    <t>Hay</t>
  </si>
  <si>
    <t>Hilltops</t>
  </si>
  <si>
    <t>Hornsby</t>
  </si>
  <si>
    <t>Inverell</t>
  </si>
  <si>
    <t>Junee</t>
  </si>
  <si>
    <t>Kempsey</t>
  </si>
  <si>
    <t>Kiama</t>
  </si>
  <si>
    <t>Kyogle</t>
  </si>
  <si>
    <t>Lachlan</t>
  </si>
  <si>
    <t>Lake Macquarie</t>
  </si>
  <si>
    <t>Leeton</t>
  </si>
  <si>
    <t>Lismore</t>
  </si>
  <si>
    <t>Lithgow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</si>
  <si>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</si>
  <si>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</si>
  <si>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</si>
  <si>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</si>
  <si>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</si>
  <si>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</si>
  <si>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</si>
  <si>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</si>
  <si>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</si>
  <si>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</si>
  <si>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Narrabri</t>
  </si>
  <si>
    <t>Narrandera</t>
  </si>
  <si>
    <t>Narromine</t>
  </si>
  <si>
    <t>Newcastle</t>
  </si>
  <si>
    <t>Northern Beaches</t>
  </si>
  <si>
    <t>Oberon</t>
  </si>
  <si>
    <t>Orange</t>
  </si>
  <si>
    <t>Parkes</t>
  </si>
  <si>
    <t>Port Macquarie-Hastings</t>
  </si>
  <si>
    <t>Queanbeyan-Palerang Regional</t>
  </si>
  <si>
    <t>Richmond Valley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</si>
  <si>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</si>
  <si>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</si>
  <si>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</si>
  <si>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</si>
  <si>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</si>
  <si>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</si>
  <si>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</si>
  <si>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</si>
  <si>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</si>
  <si>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</si>
  <si>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</si>
  <si>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</si>
  <si>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</si>
  <si>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</si>
  <si>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</si>
  <si>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</si>
  <si>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</si>
  <si>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</si>
  <si>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</si>
  <si>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</si>
  <si>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Weddin</t>
  </si>
  <si>
    <t>Wentworth</t>
  </si>
  <si>
    <t>Wollondilly</t>
  </si>
  <si>
    <t>Wollongong</t>
  </si>
  <si>
    <t>Yass Valley</t>
  </si>
  <si>
    <t>% Change</t>
  </si>
  <si>
    <t>2020-21</t>
  </si>
  <si>
    <t>Ave Person to HH</t>
  </si>
  <si>
    <t>Area</t>
  </si>
  <si>
    <t>No.</t>
  </si>
  <si>
    <t>ave</t>
  </si>
  <si>
    <t>km2</t>
  </si>
  <si>
    <t xml:space="preserve">Total Households LG Survey    </t>
  </si>
  <si>
    <t>Population density</t>
  </si>
  <si>
    <t>MSWA</t>
  </si>
  <si>
    <t>Joint Org</t>
  </si>
  <si>
    <t>RMJO</t>
  </si>
  <si>
    <t>NEJO</t>
  </si>
  <si>
    <t>NRJO</t>
  </si>
  <si>
    <t>FSWJO</t>
  </si>
  <si>
    <t>CNJO</t>
  </si>
  <si>
    <t>MNCJO</t>
  </si>
  <si>
    <t>RJO</t>
  </si>
  <si>
    <t>OJO</t>
  </si>
  <si>
    <t>FNWJO</t>
  </si>
  <si>
    <t>HJO</t>
  </si>
  <si>
    <t>NJO</t>
  </si>
  <si>
    <t>persons/km2</t>
  </si>
  <si>
    <t>LGA Average DWMC $</t>
  </si>
  <si>
    <t>Data Received</t>
  </si>
  <si>
    <t>No.Hh 'Residual Waste Service</t>
  </si>
  <si>
    <t>No. Hh 'Recycling Service</t>
  </si>
  <si>
    <t>No. Hh 'Garden Organics Service</t>
  </si>
  <si>
    <t>No. Hh 'Food and Garden Organics Service</t>
  </si>
  <si>
    <t>No. Hh with 'Clean Up Service</t>
  </si>
  <si>
    <t>No. Hh with access to Drop Off Service access</t>
  </si>
  <si>
    <t>Total Domestic Generation (tonnes) inc CDS</t>
  </si>
  <si>
    <t>based on total households regardless of service</t>
  </si>
  <si>
    <t>Recyclables</t>
  </si>
  <si>
    <t>Organics</t>
  </si>
  <si>
    <t>Residual Waste</t>
  </si>
  <si>
    <t>Total Domestic Generation</t>
  </si>
  <si>
    <t>Total Recycled</t>
  </si>
  <si>
    <t>Total Disposed</t>
  </si>
  <si>
    <t>Recycling Rate (%)</t>
  </si>
  <si>
    <t>Total Municipal Generation</t>
  </si>
  <si>
    <t>Kg per Capita /wk</t>
  </si>
  <si>
    <t>Kg per HH/wk</t>
  </si>
  <si>
    <t>Recycling Rate
(%)</t>
  </si>
  <si>
    <t>Tonnes Collected of Dry Recycling</t>
  </si>
  <si>
    <t>Dry Recycling of Total Waste (%)</t>
  </si>
  <si>
    <t>Tonnes Collected of Organics</t>
  </si>
  <si>
    <t>Organics of Total Waste
(%)</t>
  </si>
  <si>
    <t>Tonnes Collected of Residual Waste</t>
  </si>
  <si>
    <t>Residual Waste of Total Waste
(%)</t>
  </si>
  <si>
    <t>Totals</t>
  </si>
  <si>
    <t>2019-20</t>
  </si>
  <si>
    <t>2018-19</t>
  </si>
  <si>
    <t>2017-18</t>
  </si>
  <si>
    <t>2016-17</t>
  </si>
  <si>
    <t>2015-16</t>
  </si>
  <si>
    <t>2014-15</t>
  </si>
  <si>
    <t>2013-14</t>
  </si>
  <si>
    <t>2012-13</t>
  </si>
  <si>
    <t>2011-12</t>
  </si>
  <si>
    <t>Kerbside Recycling Bin</t>
  </si>
  <si>
    <t>CDS Recycling</t>
  </si>
  <si>
    <t>Drop off Recycling</t>
  </si>
  <si>
    <t>Cleanup Recycling</t>
  </si>
  <si>
    <t>Total Recycling</t>
  </si>
  <si>
    <t>Other Council Recycling</t>
  </si>
  <si>
    <t>Kerbside + CDS</t>
  </si>
  <si>
    <t>tonnes collected</t>
  </si>
  <si>
    <t>tonnes recycled</t>
  </si>
  <si>
    <t>tonnes disposed</t>
  </si>
  <si>
    <t>Paper</t>
  </si>
  <si>
    <t>Cardboard</t>
  </si>
  <si>
    <t>LPB cartons</t>
  </si>
  <si>
    <t>Glass</t>
  </si>
  <si>
    <t>Al Cans</t>
  </si>
  <si>
    <t>Steel Cans</t>
  </si>
  <si>
    <t>Plastics 1-3 (PET,HDPE,PVC)</t>
  </si>
  <si>
    <t>Plastics 4 (LDPE)</t>
  </si>
  <si>
    <t>Plastics 5 (PP)</t>
  </si>
  <si>
    <t>Plastics 6 (PS)</t>
  </si>
  <si>
    <t>Plastics 7 (Other)</t>
  </si>
  <si>
    <t>Hard Plastics (plant pots)</t>
  </si>
  <si>
    <t>Soft Plastics (Film, wrapping, bags)</t>
  </si>
  <si>
    <t>Batteries</t>
  </si>
  <si>
    <t>Electrical Items</t>
  </si>
  <si>
    <t>Textiles</t>
  </si>
  <si>
    <t>Other</t>
  </si>
  <si>
    <t>Comments</t>
  </si>
  <si>
    <t>Regional Area</t>
  </si>
  <si>
    <t>Kerbside 'Waste</t>
  </si>
  <si>
    <t>Alternative Waste Treatment (AWT)</t>
  </si>
  <si>
    <t>Collected</t>
  </si>
  <si>
    <t>Recovered</t>
  </si>
  <si>
    <t>Disposed</t>
  </si>
  <si>
    <t>Sent</t>
  </si>
  <si>
    <t>% Recovered</t>
  </si>
  <si>
    <t>Veolia Woodlawn</t>
  </si>
  <si>
    <t>SUEZ</t>
  </si>
  <si>
    <t>Eastern Creek</t>
  </si>
  <si>
    <t>SAWT</t>
  </si>
  <si>
    <t>Badgerys Creek</t>
  </si>
  <si>
    <t>Kerbside Recycling Materials accepted in Yellow Lid Bin</t>
  </si>
  <si>
    <t>TOTAL</t>
  </si>
  <si>
    <t>Dry Recycling</t>
  </si>
  <si>
    <t>Garden Organics</t>
  </si>
  <si>
    <t>FOGO</t>
  </si>
  <si>
    <t>Predominant BIN Size</t>
  </si>
  <si>
    <t>Frequency</t>
  </si>
  <si>
    <t>Kg/hh/wk</t>
  </si>
  <si>
    <t>kg/hh/wk</t>
  </si>
  <si>
    <t>kg/hh/wk Organics</t>
  </si>
  <si>
    <t>kg/hh/wk FOGO</t>
  </si>
  <si>
    <t>Bin System</t>
  </si>
  <si>
    <t>140L</t>
  </si>
  <si>
    <t>F/N</t>
  </si>
  <si>
    <t>240L</t>
  </si>
  <si>
    <t>Weekly</t>
  </si>
  <si>
    <t>120L</t>
  </si>
  <si>
    <t>360L</t>
  </si>
  <si>
    <t>80L</t>
  </si>
  <si>
    <t>Monthly</t>
  </si>
  <si>
    <t>55L</t>
  </si>
  <si>
    <t>Average NSW</t>
  </si>
  <si>
    <t>Red</t>
  </si>
  <si>
    <t>Ave kg/wk</t>
  </si>
  <si>
    <t>Yellow</t>
  </si>
  <si>
    <t>GO</t>
  </si>
  <si>
    <t>No. LGA</t>
  </si>
  <si>
    <t>Ave Rec %</t>
  </si>
  <si>
    <t>Forthnightly</t>
  </si>
  <si>
    <t>Red/Yellow</t>
  </si>
  <si>
    <t>Red/Yellow/Green</t>
  </si>
  <si>
    <t>Red/Yellow/FOGO</t>
  </si>
  <si>
    <t>Red/Yellow/Green/FOGO</t>
  </si>
  <si>
    <t>kg/week</t>
  </si>
  <si>
    <t>Red Lid Bin</t>
  </si>
  <si>
    <t>Yellow Lid Bin</t>
  </si>
  <si>
    <t>Green Lid Bin</t>
  </si>
  <si>
    <t>Households with</t>
  </si>
  <si>
    <t>Population with</t>
  </si>
  <si>
    <t>Residual Waste Service</t>
  </si>
  <si>
    <t>Dry Recycling Service</t>
  </si>
  <si>
    <t>Garden Organics Service</t>
  </si>
  <si>
    <t>FOGO Service</t>
  </si>
  <si>
    <t>Kerbside Tonnes Collected</t>
  </si>
  <si>
    <r>
      <t xml:space="preserve">Per Household
</t>
    </r>
    <r>
      <rPr>
        <b/>
        <sz val="8"/>
        <rFont val="Arial"/>
        <family val="2"/>
      </rPr>
      <t>kg/hh/wk</t>
    </r>
  </si>
  <si>
    <r>
      <t xml:space="preserve">Per Capita
</t>
    </r>
    <r>
      <rPr>
        <b/>
        <sz val="8"/>
        <rFont val="Arial"/>
        <family val="2"/>
      </rPr>
      <t>kg/ca/wk</t>
    </r>
  </si>
  <si>
    <t>AWT</t>
  </si>
  <si>
    <r>
      <t xml:space="preserve">Kerbside </t>
    </r>
    <r>
      <rPr>
        <b/>
        <sz val="8"/>
        <rFont val="Arial"/>
        <family val="2"/>
      </rPr>
      <t xml:space="preserve">Garden Organics </t>
    </r>
    <r>
      <rPr>
        <sz val="8"/>
        <rFont val="Arial"/>
        <family val="2"/>
      </rPr>
      <t>Tonnes Collected</t>
    </r>
  </si>
  <si>
    <r>
      <t xml:space="preserve">Kerbside </t>
    </r>
    <r>
      <rPr>
        <b/>
        <sz val="8"/>
        <rFont val="Arial"/>
        <family val="2"/>
      </rPr>
      <t>FOGO</t>
    </r>
    <r>
      <rPr>
        <sz val="8"/>
        <rFont val="Arial"/>
        <family val="2"/>
      </rPr>
      <t xml:space="preserve"> Tonnes Collected</t>
    </r>
  </si>
  <si>
    <t>Total Number  Hh in LGA</t>
  </si>
  <si>
    <t>Household Numbers</t>
  </si>
  <si>
    <t>No GO</t>
  </si>
  <si>
    <t>LGA Population with service</t>
  </si>
  <si>
    <t>GO + FOGO Households</t>
  </si>
  <si>
    <t>GO + FOGO POP</t>
  </si>
  <si>
    <t>GO + FOGO tonnes</t>
  </si>
  <si>
    <t>NF</t>
  </si>
  <si>
    <t>GO+FOGO</t>
  </si>
  <si>
    <t>NSW Average kg/wk</t>
  </si>
  <si>
    <t>Kerbside Waste Bin</t>
  </si>
  <si>
    <t>Kerbside</t>
  </si>
  <si>
    <t>Drop Off</t>
  </si>
  <si>
    <t>Clean Up</t>
  </si>
  <si>
    <t>Total Disposed to Landfill</t>
  </si>
  <si>
    <t>Total Waste</t>
  </si>
  <si>
    <t>Other Council Waste</t>
  </si>
  <si>
    <t>Reg Groups</t>
  </si>
  <si>
    <t>Recovered (AWT)</t>
  </si>
  <si>
    <t>Recycling Bin Disposed</t>
  </si>
  <si>
    <t>Organics Bin Disposed</t>
  </si>
  <si>
    <t>Recycling Disposed</t>
  </si>
  <si>
    <t>Organics Disposed</t>
  </si>
  <si>
    <t>Waste Collected</t>
  </si>
  <si>
    <t>Waste Recycled</t>
  </si>
  <si>
    <t>Waste Disposed</t>
  </si>
  <si>
    <t>Recycled</t>
  </si>
  <si>
    <t>Recycling  Disposed</t>
  </si>
  <si>
    <t>C/Up</t>
  </si>
  <si>
    <t>published</t>
  </si>
  <si>
    <t>Kerbside Organics Bin</t>
  </si>
  <si>
    <t>Kerbside FOGO Organics</t>
  </si>
  <si>
    <t>Drop off Organics</t>
  </si>
  <si>
    <t>Cleanup Organics</t>
  </si>
  <si>
    <t>Total Domestic Organics</t>
  </si>
  <si>
    <t>Other Council Garden Organics</t>
  </si>
  <si>
    <t>GO + FOGO Collected</t>
  </si>
  <si>
    <t>GO + FOGO Recycled</t>
  </si>
  <si>
    <t>GO + FOGO Disposed</t>
  </si>
  <si>
    <t>http://www.bom.gov.au/cgi-bin/climate/change/timeseries.cgi?graph=rain&amp;area=nsw&amp;season=0706&amp;ave_yr=5</t>
  </si>
  <si>
    <t>Total Domestic Generation and Recycling Rates inc. CDS</t>
  </si>
  <si>
    <t>Household and Population Figures</t>
  </si>
  <si>
    <t>Rest of State</t>
  </si>
  <si>
    <t>Stream</t>
  </si>
  <si>
    <t>Population</t>
  </si>
  <si>
    <t>Residual</t>
  </si>
  <si>
    <t>Recycling</t>
  </si>
  <si>
    <t>Household</t>
  </si>
  <si>
    <t>Total Domestic Generation and Averages</t>
  </si>
  <si>
    <t>Recyclables Collected</t>
  </si>
  <si>
    <t>Total Recyclables</t>
  </si>
  <si>
    <t>kg/capita/yr</t>
  </si>
  <si>
    <t>kg/capita/wk</t>
  </si>
  <si>
    <t>kg/hh/yr</t>
  </si>
  <si>
    <t>Organics Collected</t>
  </si>
  <si>
    <t>Total Generation</t>
  </si>
  <si>
    <t>Total Organics</t>
  </si>
  <si>
    <t>Total Municipal Generation and Recycling Rates</t>
  </si>
  <si>
    <t>Total Recyclables Collected</t>
  </si>
  <si>
    <t>Residual Waste Collected</t>
  </si>
  <si>
    <t>Total Residual Waste</t>
  </si>
  <si>
    <t>https://returnandearn.org.au/</t>
  </si>
  <si>
    <t>https://twitter.com/NSWGovCDS</t>
  </si>
  <si>
    <t>Domestic Generation</t>
  </si>
  <si>
    <t xml:space="preserve">Other </t>
  </si>
  <si>
    <t>CDS</t>
  </si>
  <si>
    <t>Other Council GO</t>
  </si>
  <si>
    <t>Other Generation</t>
  </si>
  <si>
    <t>Domestic</t>
  </si>
  <si>
    <t>Other Council</t>
  </si>
  <si>
    <t>capita</t>
  </si>
  <si>
    <t>household</t>
  </si>
  <si>
    <t xml:space="preserve">2020-21 </t>
  </si>
  <si>
    <t>kg/ca/wk</t>
  </si>
  <si>
    <t>kg/hh/week</t>
  </si>
  <si>
    <t>tonnes</t>
  </si>
  <si>
    <t>NSW Ave</t>
  </si>
  <si>
    <t>Kerbside Bin Recycling Materials</t>
  </si>
  <si>
    <t>2021-22</t>
  </si>
  <si>
    <t xml:space="preserve">2021-22  Collected </t>
  </si>
  <si>
    <t>Population ABS 2022</t>
  </si>
  <si>
    <t xml:space="preserve">2021-22 </t>
  </si>
  <si>
    <t>Bayside</t>
  </si>
  <si>
    <t>$</t>
  </si>
  <si>
    <t>both</t>
  </si>
  <si>
    <t>Figure 19: Kerbside recycling bin average per system</t>
  </si>
  <si>
    <t>Kerbside Dry Recycling</t>
  </si>
  <si>
    <t>Table 25</t>
  </si>
  <si>
    <t>Kerbside Recycling Service</t>
  </si>
  <si>
    <t>Average Collection</t>
  </si>
  <si>
    <t>240L Split (W/R)</t>
  </si>
  <si>
    <t>Fortnightly</t>
  </si>
  <si>
    <t>55L/Weekly</t>
  </si>
  <si>
    <t>2x120L</t>
  </si>
  <si>
    <t>660L</t>
  </si>
  <si>
    <t>No Service</t>
  </si>
  <si>
    <t>-</t>
  </si>
  <si>
    <t>Figure 18: Kerbside residual Waste Bin average per system</t>
  </si>
  <si>
    <t>Table 24</t>
  </si>
  <si>
    <t>Kerbside Waste Service</t>
  </si>
  <si>
    <t>Kerbside Residual Waste</t>
  </si>
  <si>
    <t>Kerbside Garden Organics Service</t>
  </si>
  <si>
    <t>Kerbside Garden Organics</t>
  </si>
  <si>
    <t>Kerbside FOGO Service</t>
  </si>
  <si>
    <t>Kerbside Food and Garden Organics (FOGO)</t>
  </si>
  <si>
    <t>Table 26</t>
  </si>
  <si>
    <t>Figure 20: Kerbside organics bin average per system</t>
  </si>
  <si>
    <t>Kerbside Bin System (no.Councils)</t>
  </si>
  <si>
    <t>FOGO 240L</t>
  </si>
  <si>
    <t>360L GO</t>
  </si>
  <si>
    <t>240L GO</t>
  </si>
  <si>
    <t>120L GO</t>
  </si>
  <si>
    <t>Households with services</t>
  </si>
  <si>
    <t>140L GO</t>
  </si>
  <si>
    <t>Waste</t>
  </si>
  <si>
    <t>Garden org</t>
  </si>
  <si>
    <t>Combined GO</t>
  </si>
  <si>
    <t>2022-23</t>
  </si>
  <si>
    <t>Appendix 2: Total Domestic Generation, Recycling Rates and Averages 2022-23</t>
  </si>
  <si>
    <t>Appendix 3: Total Domestic Generation (tonnes) and Recycling Rates 2022-23</t>
  </si>
  <si>
    <t>Appendix 4: Total Domestic Recyclable Generation 2022-232</t>
  </si>
  <si>
    <t>Appendix 5: Total Domestic Organics Generation 2022-23</t>
  </si>
  <si>
    <t>Appendix 7: Weekly Kerbside Household and Per Capita Generation 2022-23</t>
  </si>
  <si>
    <t xml:space="preserve">Appendix 8: Predominant Bin Size and Collection Frequency </t>
  </si>
  <si>
    <t xml:space="preserve">Appendix 9: Alternative Waste Treatment (AWT) </t>
  </si>
  <si>
    <t>Population as at 30/06/2023</t>
  </si>
  <si>
    <t>Source: ABS Regional population, 2022-23, 3218.0</t>
  </si>
  <si>
    <t xml:space="preserve">2022-23  Collected </t>
  </si>
  <si>
    <t>2022-23 Recycled</t>
  </si>
  <si>
    <t>2022-23 Disposed</t>
  </si>
  <si>
    <t xml:space="preserve"> MLA =1</t>
  </si>
  <si>
    <t>RLA = 2</t>
  </si>
  <si>
    <t>NLA = 3</t>
  </si>
  <si>
    <t>2021-2022 data used</t>
  </si>
  <si>
    <t>2021-2022 data used for some questions</t>
  </si>
  <si>
    <t>MLA</t>
  </si>
  <si>
    <t xml:space="preserve"> MLA </t>
  </si>
  <si>
    <t>RLA</t>
  </si>
  <si>
    <t>NLA (Rest of NSW)</t>
  </si>
  <si>
    <t>2022-2023</t>
  </si>
  <si>
    <t>NLA Rest of the State</t>
  </si>
  <si>
    <t>Appendix 6: Total Domestic Residual Waste Generation and Disposal 2022-23</t>
  </si>
  <si>
    <t>Note: Kerbside recycyling bin 2022-2023 Contamination rate not included. So recycled rate may be higher than previous years and disposal rate may be lower than previous years.</t>
  </si>
  <si>
    <t>OLD DATA BELOW</t>
  </si>
  <si>
    <t>Total 2021-22</t>
  </si>
  <si>
    <t>Other Size</t>
  </si>
  <si>
    <t>1100L</t>
  </si>
  <si>
    <t>Twice weekly</t>
  </si>
  <si>
    <t>Crate</t>
  </si>
  <si>
    <t>240L Split (Waste/Recycling)</t>
  </si>
  <si>
    <t>Weekly^</t>
  </si>
  <si>
    <t>F/N^</t>
  </si>
  <si>
    <t>^MUDs reported as twice weekly</t>
  </si>
  <si>
    <t>^</t>
  </si>
  <si>
    <t>2022-223</t>
  </si>
  <si>
    <t>NLA Rest of State</t>
  </si>
  <si>
    <t xml:space="preserve"> </t>
  </si>
  <si>
    <t>Aluminium foil</t>
  </si>
  <si>
    <t>Balled Al Foil</t>
  </si>
  <si>
    <t>Tetra-paks</t>
  </si>
  <si>
    <t>Plastic rigid containers</t>
  </si>
  <si>
    <t>Note that we accept Plastics 6 only on the solid form and not expanded or foam polystyrene</t>
  </si>
  <si>
    <t>R23_1</t>
  </si>
  <si>
    <t>R23_2</t>
  </si>
  <si>
    <t>R23_3</t>
  </si>
  <si>
    <t>R23_4</t>
  </si>
  <si>
    <t>R23_5</t>
  </si>
  <si>
    <t>R23_6</t>
  </si>
  <si>
    <t>R23_7</t>
  </si>
  <si>
    <t>R23_8</t>
  </si>
  <si>
    <t>R23_9</t>
  </si>
  <si>
    <t>R23_10</t>
  </si>
  <si>
    <t>R23_11</t>
  </si>
  <si>
    <t>R23_12</t>
  </si>
  <si>
    <t>R23_13</t>
  </si>
  <si>
    <t>R23_14</t>
  </si>
  <si>
    <t>R23_15</t>
  </si>
  <si>
    <t>R23_16</t>
  </si>
  <si>
    <t>R23_17</t>
  </si>
  <si>
    <t>R23_17_1</t>
  </si>
  <si>
    <t>Veolia</t>
  </si>
  <si>
    <t>Veolia - Woodlawn</t>
  </si>
  <si>
    <t>Siltech PMR Pty Ltd</t>
  </si>
  <si>
    <t>Cleanaway</t>
  </si>
  <si>
    <t>Cleanaway - Kemps Creek (ARRT) and Eastern Creek (GREC/GRL)</t>
  </si>
  <si>
    <t>Woodlawn Eco-precinc</t>
  </si>
  <si>
    <t>Woodlawn</t>
  </si>
  <si>
    <t>Clyde/Woodlawn</t>
  </si>
  <si>
    <t>619 Collector Rd, Tarago</t>
  </si>
  <si>
    <t>220 Barry Road Campb Licensed</t>
  </si>
  <si>
    <t>Kemps Creek</t>
  </si>
  <si>
    <t>619 Collector Rd, Tarag</t>
  </si>
  <si>
    <t>Name of AWT mixed waste processing</t>
  </si>
  <si>
    <t>Address of AWT mixed waste processing</t>
  </si>
  <si>
    <t>^Sydney  and Burwood reported Food only organics service. They have been grouped with FOGO for reporting.</t>
  </si>
  <si>
    <t xml:space="preserve">2022-23 Collected </t>
  </si>
  <si>
    <t>HH with residual waste service</t>
  </si>
  <si>
    <t>% HH with sevice</t>
  </si>
  <si>
    <t>NLA (rest of NSW)</t>
  </si>
  <si>
    <t>Population
ABS
(30 June 2023)</t>
  </si>
  <si>
    <t>Predominant Frequency</t>
  </si>
  <si>
    <t>Note: Bin size not used to calculate kg/hh/wk or recycling rate</t>
  </si>
  <si>
    <t>Total kg/hh/wk</t>
  </si>
  <si>
    <t/>
  </si>
  <si>
    <t>NLA Rest of NSW</t>
  </si>
  <si>
    <t>Rest of NSW</t>
  </si>
  <si>
    <t>Appendix 10: Domestic kerbside clean up / bulk collection  materials</t>
  </si>
  <si>
    <t>Bulky Waste</t>
  </si>
  <si>
    <t>Mattresses (all sizes)</t>
  </si>
  <si>
    <t>Metals and White Goods</t>
  </si>
  <si>
    <t xml:space="preserve">E-waste (Electronic / Electrical Goods) </t>
  </si>
  <si>
    <t>Garden organics</t>
  </si>
  <si>
    <t>Tonnes collected</t>
  </si>
  <si>
    <t>Tonnes recycled</t>
  </si>
  <si>
    <t>Tonnes disposed</t>
  </si>
  <si>
    <t>Note: Not all councils answered for all materials so sum of materials may not match  reported totals throughout this workbook.</t>
  </si>
  <si>
    <t xml:space="preserve">Weekly ave kgs per person </t>
  </si>
  <si>
    <t>*inluces Other types of Council waste</t>
  </si>
  <si>
    <t xml:space="preserve">  </t>
  </si>
  <si>
    <t>Total Municipal Generation (tonnes) inc CDS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</si>
</sst>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  <numFmt numFmtId="167" formatCode="0.0"/>
    <numFmt numFmtId="168" formatCode="#,##0.00_ ;\-#,##0.00\ "/>
    <numFmt numFmtId="169" formatCode="_-* #,##0.000_-;\-* #,##0.000_-;_-* &quot;-&quot;??_-;_-@_-"/>
  </numFmts>
  <fonts count="9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i/>
      <sz val="8"/>
      <color indexed="60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i/>
      <sz val="8"/>
      <color indexed="17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b/>
      <sz val="12"/>
      <color indexed="60"/>
      <name val="Arial"/>
      <family val="2"/>
    </font>
    <font>
      <b/>
      <i/>
      <sz val="9"/>
      <name val="Calibri"/>
      <family val="2"/>
      <scheme val="minor"/>
    </font>
    <font>
      <i/>
      <sz val="9"/>
      <name val="Arial"/>
      <family val="2"/>
    </font>
    <font>
      <i/>
      <sz val="8"/>
      <name val="Arial"/>
      <family val="2"/>
    </font>
    <font>
      <b/>
      <sz val="8"/>
      <color indexed="60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indexed="10"/>
      <name val="Arial"/>
      <family val="2"/>
    </font>
    <font>
      <b/>
      <sz val="8"/>
      <color rgb="FFC00000"/>
      <name val="Arial"/>
      <family val="2"/>
    </font>
    <font>
      <b/>
      <i/>
      <sz val="8"/>
      <name val="ARIAL"/>
      <family val="2"/>
    </font>
    <font>
      <i/>
      <sz val="8"/>
      <color indexed="12"/>
      <name val="Arial"/>
      <family val="2"/>
    </font>
    <font>
      <i/>
      <sz val="8"/>
      <color rgb="FF0070C0"/>
      <name val="Arial"/>
      <family val="2"/>
    </font>
    <font>
      <i/>
      <sz val="7"/>
      <name val="Arial"/>
      <family val="2"/>
    </font>
    <font>
      <b/>
      <sz val="10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62"/>
      <name val="Calibri"/>
      <family val="2"/>
    </font>
    <font>
      <i/>
      <sz val="9"/>
      <color indexed="8"/>
      <name val="Calibri"/>
      <family val="2"/>
    </font>
    <font>
      <b/>
      <sz val="9"/>
      <color indexed="57"/>
      <name val="Calibri"/>
      <family val="2"/>
    </font>
    <font>
      <sz val="9"/>
      <color indexed="49"/>
      <name val="Calibri"/>
      <family val="2"/>
    </font>
    <font>
      <b/>
      <i/>
      <sz val="9"/>
      <color indexed="8"/>
      <name val="Calibri"/>
      <family val="2"/>
    </font>
    <font>
      <b/>
      <sz val="9"/>
      <color indexed="10"/>
      <name val="Calibr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rgb="FF00324D"/>
      <name val="Arial"/>
      <family val="2"/>
    </font>
    <font>
      <b/>
      <sz val="9"/>
      <color indexed="57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1"/>
      <name val="Aptos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2"/>
      <color rgb="FF333333"/>
      <name val="Arial"/>
      <family val="2"/>
    </font>
    <font>
      <b/>
      <sz val="12"/>
      <color indexed="9"/>
      <name val="Verdana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/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indexed="9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indexed="9"/>
      </top>
      <bottom style="thin">
        <color theme="0" tint="-4.9989318521683403E-2"/>
      </bottom>
      <diagonal/>
    </border>
    <border>
      <left/>
      <right/>
      <top style="thin">
        <color indexed="9"/>
      </top>
      <bottom style="thin">
        <color theme="0" tint="-4.9989318521683403E-2"/>
      </bottom>
      <diagonal/>
    </border>
    <border>
      <left/>
      <right style="thin">
        <color indexed="9"/>
      </right>
      <top style="thin">
        <color indexed="9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9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987">
    <xf numFmtId="0" fontId="0" fillId="0" borderId="0"/>
    <xf numFmtId="43" fontId="21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5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5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5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5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5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5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5" fillId="4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5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5" fillId="4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5" fillId="3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5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5" fillId="4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26" fillId="46" borderId="0" applyNumberFormat="0" applyBorder="0" applyAlignment="0" applyProtection="0"/>
    <xf numFmtId="0" fontId="18" fillId="16" borderId="0" applyNumberFormat="0" applyBorder="0" applyAlignment="0" applyProtection="0"/>
    <xf numFmtId="0" fontId="26" fillId="43" borderId="0" applyNumberFormat="0" applyBorder="0" applyAlignment="0" applyProtection="0"/>
    <xf numFmtId="0" fontId="18" fillId="20" borderId="0" applyNumberFormat="0" applyBorder="0" applyAlignment="0" applyProtection="0"/>
    <xf numFmtId="0" fontId="26" fillId="44" borderId="0" applyNumberFormat="0" applyBorder="0" applyAlignment="0" applyProtection="0"/>
    <xf numFmtId="0" fontId="18" fillId="24" borderId="0" applyNumberFormat="0" applyBorder="0" applyAlignment="0" applyProtection="0"/>
    <xf numFmtId="0" fontId="26" fillId="47" borderId="0" applyNumberFormat="0" applyBorder="0" applyAlignment="0" applyProtection="0"/>
    <xf numFmtId="0" fontId="18" fillId="28" borderId="0" applyNumberFormat="0" applyBorder="0" applyAlignment="0" applyProtection="0"/>
    <xf numFmtId="0" fontId="26" fillId="48" borderId="0" applyNumberFormat="0" applyBorder="0" applyAlignment="0" applyProtection="0"/>
    <xf numFmtId="0" fontId="18" fillId="32" borderId="0" applyNumberFormat="0" applyBorder="0" applyAlignment="0" applyProtection="0"/>
    <xf numFmtId="0" fontId="26" fillId="49" borderId="0" applyNumberFormat="0" applyBorder="0" applyAlignment="0" applyProtection="0"/>
    <xf numFmtId="0" fontId="18" fillId="9" borderId="0" applyNumberFormat="0" applyBorder="0" applyAlignment="0" applyProtection="0"/>
    <xf numFmtId="0" fontId="26" fillId="50" borderId="0" applyNumberFormat="0" applyBorder="0" applyAlignment="0" applyProtection="0"/>
    <xf numFmtId="0" fontId="18" fillId="13" borderId="0" applyNumberFormat="0" applyBorder="0" applyAlignment="0" applyProtection="0"/>
    <xf numFmtId="0" fontId="26" fillId="51" borderId="0" applyNumberFormat="0" applyBorder="0" applyAlignment="0" applyProtection="0"/>
    <xf numFmtId="0" fontId="18" fillId="17" borderId="0" applyNumberFormat="0" applyBorder="0" applyAlignment="0" applyProtection="0"/>
    <xf numFmtId="0" fontId="26" fillId="52" borderId="0" applyNumberFormat="0" applyBorder="0" applyAlignment="0" applyProtection="0"/>
    <xf numFmtId="0" fontId="18" fillId="21" borderId="0" applyNumberFormat="0" applyBorder="0" applyAlignment="0" applyProtection="0"/>
    <xf numFmtId="0" fontId="26" fillId="47" borderId="0" applyNumberFormat="0" applyBorder="0" applyAlignment="0" applyProtection="0"/>
    <xf numFmtId="0" fontId="18" fillId="25" borderId="0" applyNumberFormat="0" applyBorder="0" applyAlignment="0" applyProtection="0"/>
    <xf numFmtId="0" fontId="26" fillId="48" borderId="0" applyNumberFormat="0" applyBorder="0" applyAlignment="0" applyProtection="0"/>
    <xf numFmtId="0" fontId="18" fillId="29" borderId="0" applyNumberFormat="0" applyBorder="0" applyAlignment="0" applyProtection="0"/>
    <xf numFmtId="0" fontId="26" fillId="53" borderId="0" applyNumberFormat="0" applyBorder="0" applyAlignment="0" applyProtection="0"/>
    <xf numFmtId="0" fontId="8" fillId="3" borderId="0" applyNumberFormat="0" applyBorder="0" applyAlignment="0" applyProtection="0"/>
    <xf numFmtId="0" fontId="27" fillId="37" borderId="0" applyNumberFormat="0" applyBorder="0" applyAlignment="0" applyProtection="0"/>
    <xf numFmtId="0" fontId="12" fillId="6" borderId="4" applyNumberFormat="0" applyAlignment="0" applyProtection="0"/>
    <xf numFmtId="0" fontId="28" fillId="54" borderId="14" applyNumberFormat="0" applyAlignment="0" applyProtection="0"/>
    <xf numFmtId="0" fontId="14" fillId="7" borderId="7" applyNumberFormat="0" applyAlignment="0" applyProtection="0"/>
    <xf numFmtId="0" fontId="29" fillId="55" borderId="15" applyNumberFormat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31" fillId="38" borderId="0" applyNumberFormat="0" applyBorder="0" applyAlignment="0" applyProtection="0"/>
    <xf numFmtId="0" fontId="4" fillId="0" borderId="1" applyNumberFormat="0" applyFill="0" applyAlignment="0" applyProtection="0"/>
    <xf numFmtId="0" fontId="32" fillId="0" borderId="16" applyNumberFormat="0" applyFill="0" applyAlignment="0" applyProtection="0"/>
    <xf numFmtId="0" fontId="5" fillId="0" borderId="2" applyNumberFormat="0" applyFill="0" applyAlignment="0" applyProtection="0"/>
    <xf numFmtId="0" fontId="33" fillId="0" borderId="17" applyNumberFormat="0" applyFill="0" applyAlignment="0" applyProtection="0"/>
    <xf numFmtId="0" fontId="6" fillId="0" borderId="3" applyNumberFormat="0" applyFill="0" applyAlignment="0" applyProtection="0"/>
    <xf numFmtId="0" fontId="34" fillId="0" borderId="18" applyNumberFormat="0" applyFill="0" applyAlignment="0" applyProtection="0"/>
    <xf numFmtId="0" fontId="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0" fillId="5" borderId="4" applyNumberFormat="0" applyAlignment="0" applyProtection="0"/>
    <xf numFmtId="0" fontId="35" fillId="41" borderId="14" applyNumberFormat="0" applyAlignment="0" applyProtection="0"/>
    <xf numFmtId="0" fontId="13" fillId="0" borderId="6" applyNumberFormat="0" applyFill="0" applyAlignment="0" applyProtection="0"/>
    <xf numFmtId="0" fontId="36" fillId="0" borderId="19" applyNumberFormat="0" applyFill="0" applyAlignment="0" applyProtection="0"/>
    <xf numFmtId="0" fontId="9" fillId="4" borderId="0" applyNumberFormat="0" applyBorder="0" applyAlignment="0" applyProtection="0"/>
    <xf numFmtId="0" fontId="37" fillId="56" borderId="0" applyNumberFormat="0" applyBorder="0" applyAlignment="0" applyProtection="0"/>
    <xf numFmtId="0" fontId="21" fillId="0" borderId="0"/>
    <xf numFmtId="0" fontId="21" fillId="0" borderId="0"/>
    <xf numFmtId="0" fontId="38" fillId="0" borderId="0"/>
    <xf numFmtId="0" fontId="22" fillId="0" borderId="0"/>
    <xf numFmtId="0" fontId="19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2" fillId="0" borderId="0"/>
    <xf numFmtId="0" fontId="38" fillId="0" borderId="0"/>
    <xf numFmtId="0" fontId="2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1" fillId="57" borderId="11" applyNumberFormat="0" applyFont="0" applyAlignment="0" applyProtection="0"/>
    <xf numFmtId="0" fontId="11" fillId="6" borderId="5" applyNumberFormat="0" applyAlignment="0" applyProtection="0"/>
    <xf numFmtId="0" fontId="39" fillId="54" borderId="2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41" fillId="0" borderId="21" applyNumberFormat="0" applyFill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6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4" fontId="54" fillId="0" borderId="0" applyFont="0" applyFill="0" applyBorder="0" applyAlignment="0" applyProtection="0"/>
    <xf numFmtId="0" fontId="22" fillId="0" borderId="0"/>
    <xf numFmtId="0" fontId="19" fillId="0" borderId="0"/>
  </cellStyleXfs>
  <cellXfs count="799">
    <xf numFmtId="0" fontId="0" fillId="0" borderId="0" xfId="0"/>
    <xf numFmtId="164" fontId="22" fillId="0" borderId="22" xfId="2979" applyNumberFormat="1" applyFont="1" applyFill="1" applyBorder="1" applyAlignment="1"/>
    <xf numFmtId="0" fontId="22" fillId="0" borderId="0" xfId="0" applyFont="1"/>
    <xf numFmtId="3" fontId="20" fillId="33" borderId="12" xfId="0" applyNumberFormat="1" applyFont="1" applyFill="1" applyBorder="1" applyAlignment="1">
      <alignment horizontal="center" textRotation="90" wrapText="1"/>
    </xf>
    <xf numFmtId="164" fontId="22" fillId="0" borderId="0" xfId="0" applyNumberFormat="1" applyFont="1"/>
    <xf numFmtId="0" fontId="0" fillId="0" borderId="0" xfId="0" applyAlignment="1">
      <alignment horizontal="center"/>
    </xf>
    <xf numFmtId="0" fontId="22" fillId="59" borderId="0" xfId="0" applyFont="1" applyFill="1"/>
    <xf numFmtId="0" fontId="20" fillId="0" borderId="27" xfId="0" applyFont="1" applyBorder="1" applyAlignment="1">
      <alignment horizontal="center" wrapText="1"/>
    </xf>
    <xf numFmtId="0" fontId="22" fillId="33" borderId="28" xfId="0" applyFont="1" applyFill="1" applyBorder="1" applyAlignment="1">
      <alignment horizontal="center"/>
    </xf>
    <xf numFmtId="0" fontId="22" fillId="33" borderId="29" xfId="0" applyFont="1" applyFill="1" applyBorder="1" applyAlignment="1">
      <alignment horizontal="center"/>
    </xf>
    <xf numFmtId="164" fontId="22" fillId="35" borderId="28" xfId="1" applyNumberFormat="1" applyFont="1" applyFill="1" applyBorder="1" applyAlignment="1">
      <alignment horizontal="center"/>
    </xf>
    <xf numFmtId="1" fontId="22" fillId="33" borderId="30" xfId="0" applyNumberFormat="1" applyFont="1" applyFill="1" applyBorder="1" applyAlignment="1">
      <alignment horizontal="center"/>
    </xf>
    <xf numFmtId="1" fontId="19" fillId="0" borderId="31" xfId="0" applyNumberFormat="1" applyFont="1" applyBorder="1" applyAlignment="1">
      <alignment horizontal="center"/>
    </xf>
    <xf numFmtId="164" fontId="22" fillId="35" borderId="30" xfId="1" applyNumberFormat="1" applyFont="1" applyFill="1" applyBorder="1" applyAlignment="1">
      <alignment horizontal="center"/>
    </xf>
    <xf numFmtId="0" fontId="22" fillId="33" borderId="28" xfId="0" applyFont="1" applyFill="1" applyBorder="1" applyAlignment="1">
      <alignment horizontal="right"/>
    </xf>
    <xf numFmtId="164" fontId="20" fillId="35" borderId="28" xfId="1" applyNumberFormat="1" applyFont="1" applyFill="1" applyBorder="1" applyAlignment="1">
      <alignment horizontal="center"/>
    </xf>
    <xf numFmtId="0" fontId="22" fillId="33" borderId="32" xfId="0" applyFont="1" applyFill="1" applyBorder="1" applyAlignment="1">
      <alignment horizontal="center"/>
    </xf>
    <xf numFmtId="0" fontId="22" fillId="33" borderId="32" xfId="0" applyFont="1" applyFill="1" applyBorder="1" applyAlignment="1">
      <alignment horizontal="right"/>
    </xf>
    <xf numFmtId="164" fontId="22" fillId="35" borderId="32" xfId="1" applyNumberFormat="1" applyFont="1" applyFill="1" applyBorder="1" applyAlignment="1">
      <alignment horizontal="center"/>
    </xf>
    <xf numFmtId="3" fontId="22" fillId="0" borderId="0" xfId="0" applyNumberFormat="1" applyFont="1"/>
    <xf numFmtId="1" fontId="22" fillId="33" borderId="30" xfId="0" applyNumberFormat="1" applyFont="1" applyFill="1" applyBorder="1" applyAlignment="1">
      <alignment horizontal="right"/>
    </xf>
    <xf numFmtId="0" fontId="47" fillId="0" borderId="0" xfId="0" applyFont="1"/>
    <xf numFmtId="0" fontId="48" fillId="0" borderId="0" xfId="0" applyFont="1"/>
    <xf numFmtId="164" fontId="0" fillId="0" borderId="0" xfId="1" applyNumberFormat="1" applyFont="1"/>
    <xf numFmtId="3" fontId="22" fillId="0" borderId="0" xfId="0" applyNumberFormat="1" applyFont="1" applyAlignment="1">
      <alignment horizontal="center"/>
    </xf>
    <xf numFmtId="3" fontId="20" fillId="33" borderId="33" xfId="0" applyNumberFormat="1" applyFont="1" applyFill="1" applyBorder="1" applyAlignment="1">
      <alignment horizontal="center"/>
    </xf>
    <xf numFmtId="3" fontId="20" fillId="33" borderId="34" xfId="0" applyNumberFormat="1" applyFont="1" applyFill="1" applyBorder="1" applyAlignment="1">
      <alignment horizontal="center"/>
    </xf>
    <xf numFmtId="0" fontId="20" fillId="33" borderId="35" xfId="0" applyFont="1" applyFill="1" applyBorder="1" applyAlignment="1">
      <alignment horizontal="center"/>
    </xf>
    <xf numFmtId="3" fontId="20" fillId="33" borderId="35" xfId="0" applyNumberFormat="1" applyFont="1" applyFill="1" applyBorder="1" applyAlignment="1">
      <alignment horizontal="center"/>
    </xf>
    <xf numFmtId="0" fontId="22" fillId="33" borderId="26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43" fontId="22" fillId="0" borderId="0" xfId="0" applyNumberFormat="1" applyFont="1"/>
    <xf numFmtId="3" fontId="20" fillId="33" borderId="26" xfId="0" applyNumberFormat="1" applyFont="1" applyFill="1" applyBorder="1" applyAlignment="1">
      <alignment horizontal="center" textRotation="90" wrapText="1"/>
    </xf>
    <xf numFmtId="3" fontId="20" fillId="33" borderId="26" xfId="0" applyNumberFormat="1" applyFont="1" applyFill="1" applyBorder="1" applyAlignment="1">
      <alignment horizontal="center"/>
    </xf>
    <xf numFmtId="3" fontId="20" fillId="33" borderId="26" xfId="0" applyNumberFormat="1" applyFont="1" applyFill="1" applyBorder="1" applyAlignment="1">
      <alignment horizontal="center" textRotation="90"/>
    </xf>
    <xf numFmtId="0" fontId="20" fillId="62" borderId="23" xfId="0" applyFont="1" applyFill="1" applyBorder="1" applyAlignment="1">
      <alignment horizontal="center" vertical="center" wrapText="1"/>
    </xf>
    <xf numFmtId="3" fontId="20" fillId="33" borderId="36" xfId="0" applyNumberFormat="1" applyFont="1" applyFill="1" applyBorder="1" applyAlignment="1">
      <alignment horizontal="center"/>
    </xf>
    <xf numFmtId="0" fontId="43" fillId="33" borderId="10" xfId="2470" applyFont="1" applyFill="1" applyBorder="1" applyAlignment="1">
      <alignment wrapText="1"/>
    </xf>
    <xf numFmtId="3" fontId="20" fillId="33" borderId="38" xfId="0" applyNumberFormat="1" applyFont="1" applyFill="1" applyBorder="1" applyAlignment="1">
      <alignment horizontal="center"/>
    </xf>
    <xf numFmtId="3" fontId="20" fillId="33" borderId="39" xfId="2506" quotePrefix="1" applyNumberFormat="1" applyFont="1" applyFill="1" applyBorder="1" applyAlignment="1">
      <alignment horizontal="center" wrapText="1"/>
    </xf>
    <xf numFmtId="3" fontId="20" fillId="33" borderId="25" xfId="2506" quotePrefix="1" applyNumberFormat="1" applyFont="1" applyFill="1" applyBorder="1" applyAlignment="1">
      <alignment horizontal="center" wrapText="1"/>
    </xf>
    <xf numFmtId="3" fontId="49" fillId="33" borderId="34" xfId="2983" applyNumberFormat="1" applyFill="1" applyBorder="1" applyAlignment="1" applyProtection="1">
      <alignment horizontal="center"/>
    </xf>
    <xf numFmtId="0" fontId="49" fillId="0" borderId="0" xfId="2983" applyBorder="1" applyAlignment="1" applyProtection="1">
      <alignment horizontal="right"/>
    </xf>
    <xf numFmtId="3" fontId="20" fillId="33" borderId="25" xfId="2506" quotePrefix="1" applyNumberFormat="1" applyFont="1" applyFill="1" applyBorder="1" applyAlignment="1">
      <alignment horizontal="center"/>
    </xf>
    <xf numFmtId="3" fontId="20" fillId="33" borderId="39" xfId="2506" quotePrefix="1" applyNumberFormat="1" applyFont="1" applyFill="1" applyBorder="1" applyAlignment="1">
      <alignment horizontal="center"/>
    </xf>
    <xf numFmtId="0" fontId="20" fillId="33" borderId="28" xfId="0" applyFont="1" applyFill="1" applyBorder="1" applyAlignment="1">
      <alignment horizontal="center"/>
    </xf>
    <xf numFmtId="3" fontId="22" fillId="60" borderId="0" xfId="0" applyNumberFormat="1" applyFont="1" applyFill="1" applyAlignment="1">
      <alignment horizontal="center"/>
    </xf>
    <xf numFmtId="164" fontId="20" fillId="0" borderId="0" xfId="1" applyNumberFormat="1" applyFont="1" applyFill="1" applyBorder="1" applyAlignment="1">
      <alignment horizontal="right"/>
    </xf>
    <xf numFmtId="3" fontId="47" fillId="0" borderId="0" xfId="0" applyNumberFormat="1" applyFont="1" applyAlignment="1">
      <alignment horizontal="center"/>
    </xf>
    <xf numFmtId="3" fontId="44" fillId="0" borderId="42" xfId="0" applyNumberFormat="1" applyFont="1" applyBorder="1" applyAlignment="1">
      <alignment horizontal="center"/>
    </xf>
    <xf numFmtId="3" fontId="48" fillId="0" borderId="0" xfId="0" applyNumberFormat="1" applyFont="1" applyAlignment="1">
      <alignment horizontal="center"/>
    </xf>
    <xf numFmtId="10" fontId="48" fillId="0" borderId="0" xfId="2982" applyNumberFormat="1" applyFont="1"/>
    <xf numFmtId="164" fontId="20" fillId="0" borderId="0" xfId="1" applyNumberFormat="1" applyFont="1" applyBorder="1" applyAlignment="1">
      <alignment horizontal="right"/>
    </xf>
    <xf numFmtId="164" fontId="22" fillId="0" borderId="0" xfId="1" applyNumberFormat="1" applyFont="1" applyBorder="1" applyAlignment="1">
      <alignment horizontal="right"/>
    </xf>
    <xf numFmtId="166" fontId="20" fillId="0" borderId="0" xfId="1" applyNumberFormat="1" applyFont="1" applyBorder="1" applyAlignment="1">
      <alignment horizontal="center"/>
    </xf>
    <xf numFmtId="164" fontId="22" fillId="0" borderId="0" xfId="1" applyNumberFormat="1" applyFon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22" fillId="33" borderId="0" xfId="1" applyNumberFormat="1" applyFont="1" applyFill="1" applyBorder="1" applyAlignment="1">
      <alignment horizontal="center"/>
    </xf>
    <xf numFmtId="164" fontId="22" fillId="0" borderId="0" xfId="1" applyNumberFormat="1" applyFont="1" applyBorder="1" applyAlignment="1">
      <alignment horizontal="center"/>
    </xf>
    <xf numFmtId="164" fontId="22" fillId="0" borderId="27" xfId="1" applyNumberFormat="1" applyFont="1" applyBorder="1" applyAlignment="1">
      <alignment horizontal="center"/>
    </xf>
    <xf numFmtId="164" fontId="20" fillId="0" borderId="0" xfId="1" applyNumberFormat="1" applyFont="1" applyFill="1" applyBorder="1" applyAlignment="1">
      <alignment horizontal="center"/>
    </xf>
    <xf numFmtId="0" fontId="22" fillId="33" borderId="30" xfId="0" applyFont="1" applyFill="1" applyBorder="1" applyAlignment="1">
      <alignment horizontal="center"/>
    </xf>
    <xf numFmtId="0" fontId="20" fillId="0" borderId="0" xfId="0" applyFont="1"/>
    <xf numFmtId="164" fontId="20" fillId="0" borderId="0" xfId="0" applyNumberFormat="1" applyFont="1"/>
    <xf numFmtId="0" fontId="22" fillId="33" borderId="0" xfId="0" applyFont="1" applyFill="1" applyAlignment="1">
      <alignment horizontal="center"/>
    </xf>
    <xf numFmtId="3" fontId="51" fillId="59" borderId="26" xfId="2506" applyNumberFormat="1" applyFont="1" applyFill="1" applyBorder="1" applyAlignment="1">
      <alignment horizontal="right"/>
    </xf>
    <xf numFmtId="1" fontId="19" fillId="0" borderId="0" xfId="0" applyNumberFormat="1" applyFont="1" applyAlignment="1">
      <alignment horizontal="center"/>
    </xf>
    <xf numFmtId="1" fontId="19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166" fontId="22" fillId="35" borderId="28" xfId="1" applyNumberFormat="1" applyFont="1" applyFill="1" applyBorder="1" applyAlignment="1">
      <alignment horizontal="center"/>
    </xf>
    <xf numFmtId="166" fontId="22" fillId="35" borderId="32" xfId="1" applyNumberFormat="1" applyFont="1" applyFill="1" applyBorder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quotePrefix="1" applyFont="1" applyAlignment="1">
      <alignment horizontal="center"/>
    </xf>
    <xf numFmtId="0" fontId="24" fillId="61" borderId="0" xfId="0" applyFont="1" applyFill="1" applyAlignment="1">
      <alignment horizontal="left"/>
    </xf>
    <xf numFmtId="0" fontId="22" fillId="60" borderId="0" xfId="0" applyFont="1" applyFill="1" applyAlignment="1">
      <alignment horizontal="center"/>
    </xf>
    <xf numFmtId="0" fontId="0" fillId="60" borderId="0" xfId="0" applyFill="1" applyAlignment="1">
      <alignment horizontal="center"/>
    </xf>
    <xf numFmtId="0" fontId="22" fillId="33" borderId="28" xfId="0" applyFont="1" applyFill="1" applyBorder="1"/>
    <xf numFmtId="0" fontId="20" fillId="0" borderId="0" xfId="0" applyFont="1" applyAlignment="1">
      <alignment horizontal="right"/>
    </xf>
    <xf numFmtId="0" fontId="47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right"/>
    </xf>
    <xf numFmtId="0" fontId="48" fillId="0" borderId="0" xfId="0" applyFont="1" applyAlignment="1">
      <alignment horizontal="center"/>
    </xf>
    <xf numFmtId="9" fontId="48" fillId="0" borderId="0" xfId="2982" applyFont="1"/>
    <xf numFmtId="43" fontId="22" fillId="0" borderId="0" xfId="0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167" fontId="20" fillId="0" borderId="0" xfId="0" applyNumberFormat="1" applyFont="1" applyAlignment="1">
      <alignment horizontal="center" vertical="center"/>
    </xf>
    <xf numFmtId="3" fontId="20" fillId="35" borderId="40" xfId="2506" applyNumberFormat="1" applyFont="1" applyFill="1" applyBorder="1" applyAlignment="1">
      <alignment vertical="center" wrapText="1"/>
    </xf>
    <xf numFmtId="3" fontId="20" fillId="35" borderId="41" xfId="2506" applyNumberFormat="1" applyFont="1" applyFill="1" applyBorder="1" applyAlignment="1">
      <alignment vertical="center" wrapText="1"/>
    </xf>
    <xf numFmtId="166" fontId="22" fillId="0" borderId="24" xfId="1" applyNumberFormat="1" applyFont="1" applyFill="1" applyBorder="1" applyAlignment="1" applyProtection="1">
      <alignment horizontal="center" wrapText="1"/>
    </xf>
    <xf numFmtId="167" fontId="22" fillId="0" borderId="0" xfId="0" applyNumberFormat="1" applyFont="1" applyAlignment="1">
      <alignment horizontal="right"/>
    </xf>
    <xf numFmtId="166" fontId="20" fillId="35" borderId="28" xfId="1" applyNumberFormat="1" applyFont="1" applyFill="1" applyBorder="1" applyAlignment="1">
      <alignment horizontal="center"/>
    </xf>
    <xf numFmtId="0" fontId="52" fillId="0" borderId="0" xfId="0" applyFont="1"/>
    <xf numFmtId="0" fontId="45" fillId="0" borderId="0" xfId="2470" applyFont="1" applyAlignment="1">
      <alignment horizontal="right"/>
    </xf>
    <xf numFmtId="0" fontId="20" fillId="0" borderId="0" xfId="0" applyFont="1" applyAlignment="1">
      <alignment horizontal="center"/>
    </xf>
    <xf numFmtId="0" fontId="20" fillId="33" borderId="37" xfId="0" applyFont="1" applyFill="1" applyBorder="1" applyAlignment="1">
      <alignment horizontal="center"/>
    </xf>
    <xf numFmtId="164" fontId="22" fillId="35" borderId="28" xfId="2218" applyNumberFormat="1" applyFont="1" applyFill="1" applyBorder="1" applyAlignment="1">
      <alignment horizontal="center"/>
    </xf>
    <xf numFmtId="43" fontId="20" fillId="0" borderId="0" xfId="0" applyNumberFormat="1" applyFont="1" applyAlignment="1">
      <alignment horizontal="right"/>
    </xf>
    <xf numFmtId="0" fontId="52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166" fontId="22" fillId="33" borderId="0" xfId="1" applyNumberFormat="1" applyFont="1" applyFill="1" applyBorder="1" applyAlignment="1">
      <alignment horizontal="center"/>
    </xf>
    <xf numFmtId="166" fontId="22" fillId="0" borderId="0" xfId="1" applyNumberFormat="1" applyFont="1" applyBorder="1" applyAlignment="1">
      <alignment horizontal="center"/>
    </xf>
    <xf numFmtId="166" fontId="22" fillId="0" borderId="27" xfId="1" applyNumberFormat="1" applyFont="1" applyBorder="1" applyAlignment="1">
      <alignment horizontal="center"/>
    </xf>
    <xf numFmtId="4" fontId="44" fillId="0" borderId="42" xfId="0" applyNumberFormat="1" applyFont="1" applyBorder="1" applyAlignment="1">
      <alignment horizontal="center"/>
    </xf>
    <xf numFmtId="4" fontId="20" fillId="0" borderId="0" xfId="0" applyNumberFormat="1" applyFont="1" applyAlignment="1">
      <alignment horizontal="center"/>
    </xf>
    <xf numFmtId="0" fontId="20" fillId="62" borderId="0" xfId="0" applyFont="1" applyFill="1" applyAlignment="1">
      <alignment horizontal="center" vertical="center" wrapText="1"/>
    </xf>
    <xf numFmtId="3" fontId="20" fillId="35" borderId="41" xfId="2506" applyNumberFormat="1" applyFont="1" applyFill="1" applyBorder="1" applyAlignment="1">
      <alignment horizontal="center" vertical="center" wrapText="1"/>
    </xf>
    <xf numFmtId="44" fontId="22" fillId="0" borderId="24" xfId="2984" applyFont="1" applyFill="1" applyBorder="1" applyAlignment="1" applyProtection="1">
      <alignment horizontal="right" wrapText="1"/>
    </xf>
    <xf numFmtId="164" fontId="22" fillId="0" borderId="24" xfId="2979" applyNumberFormat="1" applyFont="1" applyFill="1" applyBorder="1" applyAlignment="1" applyProtection="1">
      <alignment horizontal="center" wrapText="1"/>
    </xf>
    <xf numFmtId="164" fontId="22" fillId="0" borderId="24" xfId="2979" applyNumberFormat="1" applyFont="1" applyFill="1" applyBorder="1" applyAlignment="1" applyProtection="1">
      <alignment horizontal="right" wrapText="1"/>
    </xf>
    <xf numFmtId="164" fontId="22" fillId="0" borderId="24" xfId="2979" applyNumberFormat="1" applyFont="1" applyFill="1" applyBorder="1" applyAlignment="1" applyProtection="1">
      <alignment horizontal="left"/>
    </xf>
    <xf numFmtId="0" fontId="19" fillId="0" borderId="45" xfId="2470" applyBorder="1"/>
    <xf numFmtId="0" fontId="22" fillId="0" borderId="45" xfId="2470" applyFont="1" applyBorder="1"/>
    <xf numFmtId="0" fontId="24" fillId="0" borderId="44" xfId="2470" applyFont="1" applyBorder="1" applyAlignment="1">
      <alignment horizontal="center"/>
    </xf>
    <xf numFmtId="0" fontId="24" fillId="0" borderId="45" xfId="2470" applyFont="1" applyBorder="1" applyAlignment="1">
      <alignment horizontal="center"/>
    </xf>
    <xf numFmtId="0" fontId="24" fillId="0" borderId="12" xfId="2470" applyFont="1" applyBorder="1" applyAlignment="1">
      <alignment horizontal="center"/>
    </xf>
    <xf numFmtId="0" fontId="24" fillId="0" borderId="13" xfId="2470" applyFont="1" applyBorder="1" applyAlignment="1">
      <alignment horizontal="center"/>
    </xf>
    <xf numFmtId="0" fontId="19" fillId="0" borderId="0" xfId="2470"/>
    <xf numFmtId="0" fontId="24" fillId="0" borderId="0" xfId="2470" applyFont="1" applyAlignment="1">
      <alignment horizontal="center"/>
    </xf>
    <xf numFmtId="0" fontId="55" fillId="0" borderId="43" xfId="2470" applyFont="1" applyBorder="1" applyAlignment="1">
      <alignment horizontal="left"/>
    </xf>
    <xf numFmtId="3" fontId="20" fillId="0" borderId="0" xfId="2470" applyNumberFormat="1" applyFont="1" applyAlignment="1">
      <alignment horizontal="center" textRotation="90" wrapText="1"/>
    </xf>
    <xf numFmtId="2" fontId="20" fillId="33" borderId="49" xfId="2470" applyNumberFormat="1" applyFont="1" applyFill="1" applyBorder="1" applyAlignment="1">
      <alignment horizontal="center" vertical="center" wrapText="1"/>
    </xf>
    <xf numFmtId="2" fontId="56" fillId="58" borderId="53" xfId="2803" applyNumberFormat="1" applyFont="1" applyFill="1" applyBorder="1" applyAlignment="1">
      <alignment horizontal="center" vertical="center" wrapText="1"/>
    </xf>
    <xf numFmtId="0" fontId="56" fillId="58" borderId="53" xfId="2803" applyFont="1" applyFill="1" applyBorder="1" applyAlignment="1">
      <alignment horizontal="center" vertical="center" wrapText="1"/>
    </xf>
    <xf numFmtId="0" fontId="20" fillId="0" borderId="13" xfId="2470" applyFont="1" applyBorder="1" applyAlignment="1">
      <alignment horizontal="center"/>
    </xf>
    <xf numFmtId="164" fontId="22" fillId="0" borderId="54" xfId="2979" applyNumberFormat="1" applyFont="1" applyFill="1" applyBorder="1" applyAlignment="1"/>
    <xf numFmtId="164" fontId="22" fillId="0" borderId="54" xfId="2317" applyNumberFormat="1" applyFont="1" applyFill="1" applyBorder="1" applyAlignment="1"/>
    <xf numFmtId="165" fontId="22" fillId="0" borderId="22" xfId="2836" applyNumberFormat="1" applyFont="1" applyFill="1" applyBorder="1" applyAlignment="1">
      <alignment horizontal="center"/>
    </xf>
    <xf numFmtId="2" fontId="22" fillId="0" borderId="0" xfId="2470" applyNumberFormat="1" applyFont="1" applyAlignment="1">
      <alignment horizontal="center"/>
    </xf>
    <xf numFmtId="165" fontId="57" fillId="58" borderId="0" xfId="2470" applyNumberFormat="1" applyFont="1" applyFill="1"/>
    <xf numFmtId="164" fontId="57" fillId="58" borderId="0" xfId="2470" applyNumberFormat="1" applyFont="1" applyFill="1"/>
    <xf numFmtId="9" fontId="57" fillId="58" borderId="0" xfId="2978" applyFont="1" applyFill="1"/>
    <xf numFmtId="0" fontId="22" fillId="0" borderId="0" xfId="2470" applyFont="1"/>
    <xf numFmtId="0" fontId="22" fillId="0" borderId="10" xfId="2470" applyFont="1" applyBorder="1"/>
    <xf numFmtId="164" fontId="22" fillId="0" borderId="0" xfId="2470" applyNumberFormat="1" applyFont="1" applyAlignment="1">
      <alignment horizontal="center"/>
    </xf>
    <xf numFmtId="165" fontId="22" fillId="0" borderId="0" xfId="2978" applyNumberFormat="1" applyFont="1" applyFill="1" applyAlignment="1">
      <alignment horizontal="center"/>
    </xf>
    <xf numFmtId="0" fontId="22" fillId="0" borderId="0" xfId="2470" applyFont="1" applyAlignment="1">
      <alignment horizontal="center"/>
    </xf>
    <xf numFmtId="164" fontId="19" fillId="0" borderId="0" xfId="2470" applyNumberFormat="1"/>
    <xf numFmtId="164" fontId="44" fillId="0" borderId="14" xfId="2470" applyNumberFormat="1" applyFont="1" applyBorder="1" applyAlignment="1">
      <alignment horizontal="center"/>
    </xf>
    <xf numFmtId="165" fontId="44" fillId="0" borderId="14" xfId="2978" applyNumberFormat="1" applyFont="1" applyFill="1" applyBorder="1" applyAlignment="1">
      <alignment horizontal="center"/>
    </xf>
    <xf numFmtId="2" fontId="20" fillId="0" borderId="0" xfId="2470" applyNumberFormat="1" applyFont="1" applyAlignment="1">
      <alignment horizontal="center"/>
    </xf>
    <xf numFmtId="165" fontId="22" fillId="0" borderId="0" xfId="2470" applyNumberFormat="1" applyFont="1"/>
    <xf numFmtId="9" fontId="22" fillId="0" borderId="0" xfId="2978" applyFont="1"/>
    <xf numFmtId="9" fontId="22" fillId="0" borderId="0" xfId="2978" applyFont="1" applyFill="1" applyAlignment="1">
      <alignment horizontal="center"/>
    </xf>
    <xf numFmtId="0" fontId="58" fillId="0" borderId="0" xfId="2470" applyFont="1"/>
    <xf numFmtId="164" fontId="45" fillId="0" borderId="58" xfId="2979" applyNumberFormat="1" applyFont="1" applyFill="1" applyBorder="1" applyAlignment="1">
      <alignment horizontal="center"/>
    </xf>
    <xf numFmtId="165" fontId="45" fillId="0" borderId="58" xfId="2978" applyNumberFormat="1" applyFont="1" applyFill="1" applyBorder="1" applyAlignment="1">
      <alignment horizontal="center"/>
    </xf>
    <xf numFmtId="165" fontId="22" fillId="0" borderId="0" xfId="2978" applyNumberFormat="1" applyFont="1"/>
    <xf numFmtId="10" fontId="22" fillId="0" borderId="0" xfId="2978" applyNumberFormat="1" applyFont="1"/>
    <xf numFmtId="164" fontId="45" fillId="0" borderId="0" xfId="2979" applyNumberFormat="1" applyFont="1" applyFill="1" applyBorder="1" applyAlignment="1">
      <alignment horizontal="center"/>
    </xf>
    <xf numFmtId="165" fontId="45" fillId="0" borderId="0" xfId="2978" applyNumberFormat="1" applyFont="1" applyFill="1" applyBorder="1" applyAlignment="1">
      <alignment horizontal="center"/>
    </xf>
    <xf numFmtId="164" fontId="22" fillId="0" borderId="0" xfId="2470" applyNumberFormat="1" applyFont="1"/>
    <xf numFmtId="0" fontId="22" fillId="64" borderId="10" xfId="2470" applyFont="1" applyFill="1" applyBorder="1"/>
    <xf numFmtId="0" fontId="22" fillId="64" borderId="0" xfId="2470" applyFont="1" applyFill="1"/>
    <xf numFmtId="164" fontId="44" fillId="64" borderId="14" xfId="2470" applyNumberFormat="1" applyFont="1" applyFill="1" applyBorder="1" applyAlignment="1">
      <alignment horizontal="center"/>
    </xf>
    <xf numFmtId="165" fontId="44" fillId="64" borderId="14" xfId="2978" applyNumberFormat="1" applyFont="1" applyFill="1" applyBorder="1" applyAlignment="1">
      <alignment horizontal="center"/>
    </xf>
    <xf numFmtId="2" fontId="20" fillId="64" borderId="0" xfId="2470" applyNumberFormat="1" applyFont="1" applyFill="1" applyAlignment="1">
      <alignment horizontal="center"/>
    </xf>
    <xf numFmtId="165" fontId="22" fillId="64" borderId="0" xfId="2978" applyNumberFormat="1" applyFont="1" applyFill="1" applyAlignment="1">
      <alignment horizontal="center"/>
    </xf>
    <xf numFmtId="9" fontId="22" fillId="64" borderId="0" xfId="2978" applyFont="1" applyFill="1" applyAlignment="1">
      <alignment horizontal="center"/>
    </xf>
    <xf numFmtId="0" fontId="58" fillId="64" borderId="0" xfId="2470" applyFont="1" applyFill="1"/>
    <xf numFmtId="164" fontId="45" fillId="64" borderId="58" xfId="2979" applyNumberFormat="1" applyFont="1" applyFill="1" applyBorder="1" applyAlignment="1">
      <alignment horizontal="center"/>
    </xf>
    <xf numFmtId="165" fontId="45" fillId="64" borderId="58" xfId="2978" applyNumberFormat="1" applyFont="1" applyFill="1" applyBorder="1" applyAlignment="1">
      <alignment horizontal="center"/>
    </xf>
    <xf numFmtId="0" fontId="22" fillId="65" borderId="10" xfId="2470" applyFont="1" applyFill="1" applyBorder="1"/>
    <xf numFmtId="0" fontId="22" fillId="65" borderId="0" xfId="2470" applyFont="1" applyFill="1"/>
    <xf numFmtId="164" fontId="44" fillId="65" borderId="14" xfId="2470" applyNumberFormat="1" applyFont="1" applyFill="1" applyBorder="1" applyAlignment="1">
      <alignment horizontal="center"/>
    </xf>
    <xf numFmtId="165" fontId="44" fillId="65" borderId="14" xfId="2978" applyNumberFormat="1" applyFont="1" applyFill="1" applyBorder="1" applyAlignment="1">
      <alignment horizontal="center"/>
    </xf>
    <xf numFmtId="2" fontId="20" fillId="65" borderId="0" xfId="2470" applyNumberFormat="1" applyFont="1" applyFill="1" applyAlignment="1">
      <alignment horizontal="center"/>
    </xf>
    <xf numFmtId="165" fontId="22" fillId="65" borderId="0" xfId="2978" applyNumberFormat="1" applyFont="1" applyFill="1" applyAlignment="1">
      <alignment horizontal="center"/>
    </xf>
    <xf numFmtId="9" fontId="22" fillId="65" borderId="0" xfId="2978" applyFont="1" applyFill="1" applyAlignment="1">
      <alignment horizontal="center"/>
    </xf>
    <xf numFmtId="0" fontId="58" fillId="65" borderId="0" xfId="2470" applyFont="1" applyFill="1"/>
    <xf numFmtId="164" fontId="45" fillId="65" borderId="58" xfId="2979" applyNumberFormat="1" applyFont="1" applyFill="1" applyBorder="1" applyAlignment="1">
      <alignment horizontal="center"/>
    </xf>
    <xf numFmtId="165" fontId="45" fillId="65" borderId="58" xfId="2978" applyNumberFormat="1" applyFont="1" applyFill="1" applyBorder="1" applyAlignment="1">
      <alignment horizontal="center"/>
    </xf>
    <xf numFmtId="0" fontId="22" fillId="58" borderId="10" xfId="2470" applyFont="1" applyFill="1" applyBorder="1"/>
    <xf numFmtId="0" fontId="22" fillId="58" borderId="0" xfId="2470" applyFont="1" applyFill="1"/>
    <xf numFmtId="164" fontId="44" fillId="58" borderId="14" xfId="2470" applyNumberFormat="1" applyFont="1" applyFill="1" applyBorder="1" applyAlignment="1">
      <alignment horizontal="center"/>
    </xf>
    <xf numFmtId="0" fontId="55" fillId="58" borderId="43" xfId="2470" applyFont="1" applyFill="1" applyBorder="1" applyAlignment="1">
      <alignment horizontal="left"/>
    </xf>
    <xf numFmtId="165" fontId="44" fillId="58" borderId="14" xfId="2978" applyNumberFormat="1" applyFont="1" applyFill="1" applyBorder="1" applyAlignment="1">
      <alignment horizontal="center"/>
    </xf>
    <xf numFmtId="165" fontId="22" fillId="58" borderId="0" xfId="2978" applyNumberFormat="1" applyFont="1" applyFill="1" applyAlignment="1">
      <alignment horizontal="center"/>
    </xf>
    <xf numFmtId="9" fontId="22" fillId="58" borderId="0" xfId="2978" applyFont="1" applyFill="1" applyAlignment="1">
      <alignment horizontal="center"/>
    </xf>
    <xf numFmtId="0" fontId="58" fillId="58" borderId="0" xfId="2470" applyFont="1" applyFill="1"/>
    <xf numFmtId="164" fontId="45" fillId="58" borderId="58" xfId="2979" applyNumberFormat="1" applyFont="1" applyFill="1" applyBorder="1" applyAlignment="1">
      <alignment horizontal="center"/>
    </xf>
    <xf numFmtId="165" fontId="45" fillId="58" borderId="58" xfId="2978" applyNumberFormat="1" applyFont="1" applyFill="1" applyBorder="1" applyAlignment="1">
      <alignment horizontal="center"/>
    </xf>
    <xf numFmtId="164" fontId="22" fillId="0" borderId="0" xfId="2979" applyNumberFormat="1" applyFont="1"/>
    <xf numFmtId="164" fontId="22" fillId="0" borderId="0" xfId="2979" applyNumberFormat="1" applyFont="1" applyFill="1" applyBorder="1"/>
    <xf numFmtId="164" fontId="22" fillId="0" borderId="0" xfId="2979" applyNumberFormat="1" applyFont="1" applyFill="1" applyAlignment="1">
      <alignment horizontal="center"/>
    </xf>
    <xf numFmtId="164" fontId="59" fillId="0" borderId="43" xfId="2979" applyNumberFormat="1" applyFont="1" applyFill="1" applyBorder="1" applyAlignment="1">
      <alignment horizontal="left"/>
    </xf>
    <xf numFmtId="0" fontId="22" fillId="59" borderId="10" xfId="2470" applyFont="1" applyFill="1" applyBorder="1"/>
    <xf numFmtId="0" fontId="22" fillId="59" borderId="0" xfId="2470" applyFont="1" applyFill="1"/>
    <xf numFmtId="164" fontId="44" fillId="59" borderId="14" xfId="2470" applyNumberFormat="1" applyFont="1" applyFill="1" applyBorder="1" applyAlignment="1">
      <alignment horizontal="center"/>
    </xf>
    <xf numFmtId="0" fontId="55" fillId="59" borderId="43" xfId="2470" applyFont="1" applyFill="1" applyBorder="1" applyAlignment="1">
      <alignment horizontal="left"/>
    </xf>
    <xf numFmtId="165" fontId="44" fillId="59" borderId="14" xfId="2978" applyNumberFormat="1" applyFont="1" applyFill="1" applyBorder="1" applyAlignment="1">
      <alignment horizontal="center"/>
    </xf>
    <xf numFmtId="164" fontId="22" fillId="59" borderId="0" xfId="2979" applyNumberFormat="1" applyFont="1" applyFill="1"/>
    <xf numFmtId="0" fontId="58" fillId="59" borderId="0" xfId="2470" applyFont="1" applyFill="1"/>
    <xf numFmtId="164" fontId="45" fillId="59" borderId="58" xfId="2979" applyNumberFormat="1" applyFont="1" applyFill="1" applyBorder="1" applyAlignment="1">
      <alignment horizontal="center"/>
    </xf>
    <xf numFmtId="165" fontId="45" fillId="59" borderId="58" xfId="2978" applyNumberFormat="1" applyFont="1" applyFill="1" applyBorder="1" applyAlignment="1">
      <alignment horizontal="center"/>
    </xf>
    <xf numFmtId="0" fontId="22" fillId="66" borderId="0" xfId="2470" applyFont="1" applyFill="1"/>
    <xf numFmtId="164" fontId="44" fillId="66" borderId="14" xfId="2470" applyNumberFormat="1" applyFont="1" applyFill="1" applyBorder="1" applyAlignment="1">
      <alignment horizontal="center"/>
    </xf>
    <xf numFmtId="0" fontId="55" fillId="66" borderId="43" xfId="2470" applyFont="1" applyFill="1" applyBorder="1" applyAlignment="1">
      <alignment horizontal="left"/>
    </xf>
    <xf numFmtId="165" fontId="44" fillId="66" borderId="14" xfId="2978" applyNumberFormat="1" applyFont="1" applyFill="1" applyBorder="1" applyAlignment="1">
      <alignment horizontal="center"/>
    </xf>
    <xf numFmtId="0" fontId="58" fillId="66" borderId="0" xfId="2470" applyFont="1" applyFill="1"/>
    <xf numFmtId="164" fontId="45" fillId="66" borderId="58" xfId="2979" applyNumberFormat="1" applyFont="1" applyFill="1" applyBorder="1" applyAlignment="1">
      <alignment horizontal="center"/>
    </xf>
    <xf numFmtId="165" fontId="45" fillId="66" borderId="58" xfId="2978" applyNumberFormat="1" applyFont="1" applyFill="1" applyBorder="1" applyAlignment="1">
      <alignment horizontal="center"/>
    </xf>
    <xf numFmtId="0" fontId="22" fillId="58" borderId="0" xfId="0" applyFont="1" applyFill="1"/>
    <xf numFmtId="164" fontId="44" fillId="58" borderId="14" xfId="0" applyNumberFormat="1" applyFont="1" applyFill="1" applyBorder="1" applyAlignment="1">
      <alignment horizontal="center"/>
    </xf>
    <xf numFmtId="0" fontId="55" fillId="58" borderId="43" xfId="0" applyFont="1" applyFill="1" applyBorder="1" applyAlignment="1">
      <alignment horizontal="left"/>
    </xf>
    <xf numFmtId="0" fontId="58" fillId="58" borderId="0" xfId="0" applyFont="1" applyFill="1"/>
    <xf numFmtId="0" fontId="19" fillId="0" borderId="0" xfId="2470" applyAlignment="1">
      <alignment horizontal="center"/>
    </xf>
    <xf numFmtId="0" fontId="22" fillId="67" borderId="0" xfId="0" applyFont="1" applyFill="1"/>
    <xf numFmtId="164" fontId="44" fillId="67" borderId="14" xfId="0" applyNumberFormat="1" applyFont="1" applyFill="1" applyBorder="1" applyAlignment="1">
      <alignment horizontal="center"/>
    </xf>
    <xf numFmtId="0" fontId="55" fillId="67" borderId="43" xfId="0" applyFont="1" applyFill="1" applyBorder="1" applyAlignment="1">
      <alignment horizontal="left"/>
    </xf>
    <xf numFmtId="165" fontId="44" fillId="67" borderId="14" xfId="2978" applyNumberFormat="1" applyFont="1" applyFill="1" applyBorder="1" applyAlignment="1">
      <alignment horizontal="center"/>
    </xf>
    <xf numFmtId="0" fontId="58" fillId="67" borderId="0" xfId="0" applyFont="1" applyFill="1"/>
    <xf numFmtId="164" fontId="45" fillId="67" borderId="58" xfId="2979" applyNumberFormat="1" applyFont="1" applyFill="1" applyBorder="1" applyAlignment="1">
      <alignment horizontal="center"/>
    </xf>
    <xf numFmtId="165" fontId="45" fillId="67" borderId="58" xfId="2978" applyNumberFormat="1" applyFont="1" applyFill="1" applyBorder="1" applyAlignment="1">
      <alignment horizontal="center"/>
    </xf>
    <xf numFmtId="0" fontId="19" fillId="0" borderId="10" xfId="2470" applyBorder="1"/>
    <xf numFmtId="0" fontId="0" fillId="0" borderId="45" xfId="0" applyBorder="1"/>
    <xf numFmtId="0" fontId="24" fillId="0" borderId="46" xfId="2470" applyFont="1" applyBorder="1" applyAlignment="1">
      <alignment horizontal="center"/>
    </xf>
    <xf numFmtId="0" fontId="24" fillId="0" borderId="48" xfId="2470" applyFont="1" applyBorder="1" applyAlignment="1">
      <alignment horizontal="center"/>
    </xf>
    <xf numFmtId="0" fontId="19" fillId="0" borderId="12" xfId="2470" applyBorder="1"/>
    <xf numFmtId="0" fontId="0" fillId="0" borderId="12" xfId="0" applyBorder="1"/>
    <xf numFmtId="0" fontId="24" fillId="0" borderId="43" xfId="2470" applyFont="1" applyBorder="1" applyAlignment="1">
      <alignment horizontal="center"/>
    </xf>
    <xf numFmtId="0" fontId="24" fillId="0" borderId="59" xfId="2470" applyFont="1" applyBorder="1" applyAlignment="1">
      <alignment horizontal="center"/>
    </xf>
    <xf numFmtId="2" fontId="20" fillId="0" borderId="43" xfId="2470" applyNumberFormat="1" applyFont="1" applyBorder="1" applyAlignment="1">
      <alignment horizontal="center" vertical="center" wrapText="1"/>
    </xf>
    <xf numFmtId="0" fontId="60" fillId="0" borderId="0" xfId="0" applyFont="1" applyAlignment="1">
      <alignment horizontal="center" wrapText="1"/>
    </xf>
    <xf numFmtId="3" fontId="22" fillId="0" borderId="10" xfId="2470" applyNumberFormat="1" applyFont="1" applyBorder="1" applyAlignment="1">
      <alignment horizontal="right" wrapText="1"/>
    </xf>
    <xf numFmtId="166" fontId="22" fillId="0" borderId="22" xfId="2979" applyNumberFormat="1" applyFont="1" applyFill="1" applyBorder="1" applyAlignment="1"/>
    <xf numFmtId="165" fontId="22" fillId="0" borderId="0" xfId="2978" applyNumberFormat="1" applyFont="1" applyFill="1" applyBorder="1" applyAlignment="1">
      <alignment horizontal="center"/>
    </xf>
    <xf numFmtId="164" fontId="22" fillId="35" borderId="30" xfId="2979" applyNumberFormat="1" applyFont="1" applyFill="1" applyBorder="1" applyAlignment="1">
      <alignment horizontal="center"/>
    </xf>
    <xf numFmtId="43" fontId="22" fillId="0" borderId="0" xfId="2979" applyFont="1" applyFill="1" applyAlignment="1">
      <alignment horizontal="center"/>
    </xf>
    <xf numFmtId="43" fontId="22" fillId="0" borderId="0" xfId="2470" applyNumberFormat="1" applyFont="1"/>
    <xf numFmtId="0" fontId="20" fillId="0" borderId="0" xfId="2470" applyFont="1"/>
    <xf numFmtId="164" fontId="61" fillId="0" borderId="14" xfId="0" applyNumberFormat="1" applyFont="1" applyBorder="1" applyAlignment="1">
      <alignment horizontal="center"/>
    </xf>
    <xf numFmtId="0" fontId="58" fillId="0" borderId="10" xfId="2470" applyFont="1" applyBorder="1"/>
    <xf numFmtId="43" fontId="61" fillId="0" borderId="0" xfId="0" applyNumberFormat="1" applyFont="1" applyAlignment="1">
      <alignment horizontal="center"/>
    </xf>
    <xf numFmtId="164" fontId="61" fillId="0" borderId="0" xfId="0" applyNumberFormat="1" applyFont="1" applyAlignment="1">
      <alignment horizontal="center"/>
    </xf>
    <xf numFmtId="164" fontId="58" fillId="0" borderId="0" xfId="2470" applyNumberFormat="1" applyFont="1"/>
    <xf numFmtId="0" fontId="22" fillId="63" borderId="10" xfId="2470" applyFont="1" applyFill="1" applyBorder="1"/>
    <xf numFmtId="0" fontId="22" fillId="63" borderId="0" xfId="2470" applyFont="1" applyFill="1"/>
    <xf numFmtId="164" fontId="44" fillId="63" borderId="14" xfId="2470" applyNumberFormat="1" applyFont="1" applyFill="1" applyBorder="1" applyAlignment="1">
      <alignment horizontal="center"/>
    </xf>
    <xf numFmtId="0" fontId="20" fillId="63" borderId="0" xfId="2470" applyFont="1" applyFill="1"/>
    <xf numFmtId="9" fontId="22" fillId="63" borderId="0" xfId="2978" applyFont="1" applyFill="1"/>
    <xf numFmtId="0" fontId="22" fillId="63" borderId="0" xfId="2470" applyFont="1" applyFill="1" applyAlignment="1">
      <alignment horizontal="center"/>
    </xf>
    <xf numFmtId="165" fontId="22" fillId="63" borderId="0" xfId="2978" applyNumberFormat="1" applyFont="1" applyFill="1" applyAlignment="1">
      <alignment horizontal="center"/>
    </xf>
    <xf numFmtId="0" fontId="22" fillId="63" borderId="0" xfId="0" applyFont="1" applyFill="1" applyAlignment="1">
      <alignment horizontal="center"/>
    </xf>
    <xf numFmtId="164" fontId="22" fillId="63" borderId="0" xfId="2470" applyNumberFormat="1" applyFont="1" applyFill="1"/>
    <xf numFmtId="164" fontId="45" fillId="63" borderId="58" xfId="2979" applyNumberFormat="1" applyFont="1" applyFill="1" applyBorder="1" applyAlignment="1">
      <alignment horizontal="center"/>
    </xf>
    <xf numFmtId="0" fontId="58" fillId="63" borderId="10" xfId="2470" applyFont="1" applyFill="1" applyBorder="1"/>
    <xf numFmtId="0" fontId="58" fillId="63" borderId="0" xfId="2470" applyFont="1" applyFill="1"/>
    <xf numFmtId="9" fontId="45" fillId="0" borderId="0" xfId="2978" applyFont="1" applyFill="1" applyBorder="1" applyAlignment="1">
      <alignment horizontal="center"/>
    </xf>
    <xf numFmtId="0" fontId="20" fillId="65" borderId="0" xfId="2470" applyFont="1" applyFill="1"/>
    <xf numFmtId="0" fontId="22" fillId="65" borderId="0" xfId="2470" applyFont="1" applyFill="1" applyAlignment="1">
      <alignment horizontal="center"/>
    </xf>
    <xf numFmtId="0" fontId="58" fillId="65" borderId="10" xfId="2470" applyFont="1" applyFill="1" applyBorder="1"/>
    <xf numFmtId="0" fontId="20" fillId="58" borderId="0" xfId="2470" applyFont="1" applyFill="1"/>
    <xf numFmtId="0" fontId="22" fillId="58" borderId="0" xfId="2470" applyFont="1" applyFill="1" applyAlignment="1">
      <alignment horizontal="center"/>
    </xf>
    <xf numFmtId="0" fontId="58" fillId="58" borderId="10" xfId="2470" applyFont="1" applyFill="1" applyBorder="1"/>
    <xf numFmtId="0" fontId="20" fillId="59" borderId="0" xfId="2470" applyFont="1" applyFill="1"/>
    <xf numFmtId="0" fontId="22" fillId="59" borderId="0" xfId="2470" applyFont="1" applyFill="1" applyAlignment="1">
      <alignment horizontal="center"/>
    </xf>
    <xf numFmtId="165" fontId="22" fillId="59" borderId="0" xfId="2978" applyNumberFormat="1" applyFont="1" applyFill="1" applyAlignment="1">
      <alignment horizontal="center"/>
    </xf>
    <xf numFmtId="0" fontId="58" fillId="59" borderId="10" xfId="2470" applyFont="1" applyFill="1" applyBorder="1"/>
    <xf numFmtId="0" fontId="20" fillId="66" borderId="0" xfId="2470" applyFont="1" applyFill="1"/>
    <xf numFmtId="43" fontId="0" fillId="0" borderId="0" xfId="2979" applyFont="1"/>
    <xf numFmtId="0" fontId="20" fillId="33" borderId="37" xfId="0" applyFont="1" applyFill="1" applyBorder="1" applyAlignment="1">
      <alignment horizontal="center" vertical="center"/>
    </xf>
    <xf numFmtId="3" fontId="20" fillId="35" borderId="0" xfId="2506" applyNumberFormat="1" applyFont="1" applyFill="1" applyAlignment="1">
      <alignment horizontal="center" vertical="center" wrapText="1"/>
    </xf>
    <xf numFmtId="164" fontId="22" fillId="0" borderId="24" xfId="2979" applyNumberFormat="1" applyFont="1" applyFill="1" applyBorder="1" applyAlignment="1" applyProtection="1">
      <alignment horizontal="right"/>
    </xf>
    <xf numFmtId="168" fontId="22" fillId="0" borderId="24" xfId="2979" applyNumberFormat="1" applyFont="1" applyFill="1" applyBorder="1" applyAlignment="1" applyProtection="1">
      <alignment horizontal="right"/>
    </xf>
    <xf numFmtId="164" fontId="20" fillId="35" borderId="28" xfId="2979" applyNumberFormat="1" applyFont="1" applyFill="1" applyBorder="1" applyAlignment="1">
      <alignment horizontal="center"/>
    </xf>
    <xf numFmtId="9" fontId="20" fillId="35" borderId="28" xfId="2978" applyFont="1" applyFill="1" applyBorder="1" applyAlignment="1">
      <alignment horizontal="right"/>
    </xf>
    <xf numFmtId="164" fontId="22" fillId="35" borderId="28" xfId="2979" applyNumberFormat="1" applyFont="1" applyFill="1" applyBorder="1" applyAlignment="1">
      <alignment horizontal="center"/>
    </xf>
    <xf numFmtId="164" fontId="22" fillId="35" borderId="32" xfId="2979" applyNumberFormat="1" applyFont="1" applyFill="1" applyBorder="1" applyAlignment="1">
      <alignment horizontal="center"/>
    </xf>
    <xf numFmtId="0" fontId="62" fillId="0" borderId="0" xfId="0" applyFont="1"/>
    <xf numFmtId="0" fontId="63" fillId="0" borderId="0" xfId="0" applyFont="1"/>
    <xf numFmtId="0" fontId="60" fillId="0" borderId="0" xfId="0" applyFont="1"/>
    <xf numFmtId="0" fontId="64" fillId="0" borderId="0" xfId="0" applyFont="1"/>
    <xf numFmtId="166" fontId="61" fillId="0" borderId="0" xfId="0" applyNumberFormat="1" applyFont="1" applyAlignment="1">
      <alignment horizontal="right"/>
    </xf>
    <xf numFmtId="164" fontId="22" fillId="33" borderId="0" xfId="2979" applyNumberFormat="1" applyFont="1" applyFill="1" applyBorder="1" applyAlignment="1">
      <alignment horizontal="center"/>
    </xf>
    <xf numFmtId="9" fontId="60" fillId="0" borderId="0" xfId="2978" applyFont="1"/>
    <xf numFmtId="0" fontId="55" fillId="0" borderId="43" xfId="2470" applyFont="1" applyBorder="1"/>
    <xf numFmtId="0" fontId="20" fillId="0" borderId="43" xfId="2470" applyFont="1" applyBorder="1" applyAlignment="1">
      <alignment horizontal="center" vertical="center"/>
    </xf>
    <xf numFmtId="2" fontId="20" fillId="68" borderId="48" xfId="2470" applyNumberFormat="1" applyFont="1" applyFill="1" applyBorder="1" applyAlignment="1">
      <alignment horizontal="center" vertical="center" wrapText="1"/>
    </xf>
    <xf numFmtId="2" fontId="20" fillId="68" borderId="51" xfId="2470" applyNumberFormat="1" applyFont="1" applyFill="1" applyBorder="1" applyAlignment="1">
      <alignment horizontal="center" vertical="center" wrapText="1"/>
    </xf>
    <xf numFmtId="2" fontId="20" fillId="68" borderId="0" xfId="2470" applyNumberFormat="1" applyFont="1" applyFill="1" applyAlignment="1">
      <alignment horizontal="center" vertical="center" wrapText="1"/>
    </xf>
    <xf numFmtId="0" fontId="20" fillId="69" borderId="12" xfId="2985" applyFont="1" applyFill="1" applyBorder="1" applyAlignment="1">
      <alignment horizontal="center" vertical="center" wrapText="1"/>
    </xf>
    <xf numFmtId="0" fontId="20" fillId="69" borderId="43" xfId="2985" applyFont="1" applyFill="1" applyBorder="1" applyAlignment="1">
      <alignment horizontal="center" vertical="center" wrapText="1"/>
    </xf>
    <xf numFmtId="0" fontId="20" fillId="34" borderId="48" xfId="2985" applyFont="1" applyFill="1" applyBorder="1" applyAlignment="1">
      <alignment horizontal="center" vertical="center" wrapText="1"/>
    </xf>
    <xf numFmtId="0" fontId="20" fillId="34" borderId="0" xfId="2985" applyFont="1" applyFill="1" applyAlignment="1">
      <alignment horizontal="center" vertical="center" wrapText="1"/>
    </xf>
    <xf numFmtId="0" fontId="20" fillId="67" borderId="48" xfId="2985" applyFont="1" applyFill="1" applyBorder="1" applyAlignment="1">
      <alignment horizontal="center" vertical="center" wrapText="1"/>
    </xf>
    <xf numFmtId="0" fontId="20" fillId="67" borderId="0" xfId="2985" applyFont="1" applyFill="1" applyAlignment="1">
      <alignment horizontal="center" vertical="center" wrapText="1"/>
    </xf>
    <xf numFmtId="0" fontId="20" fillId="70" borderId="0" xfId="2985" applyFont="1" applyFill="1" applyAlignment="1">
      <alignment horizontal="center" vertical="center" wrapText="1"/>
    </xf>
    <xf numFmtId="2" fontId="20" fillId="33" borderId="51" xfId="2470" applyNumberFormat="1" applyFont="1" applyFill="1" applyBorder="1" applyAlignment="1">
      <alignment horizontal="center" vertical="center" wrapText="1"/>
    </xf>
    <xf numFmtId="0" fontId="19" fillId="0" borderId="10" xfId="2470" applyBorder="1" applyAlignment="1">
      <alignment horizontal="center"/>
    </xf>
    <xf numFmtId="0" fontId="22" fillId="68" borderId="12" xfId="2470" applyFont="1" applyFill="1" applyBorder="1" applyAlignment="1">
      <alignment horizontal="center"/>
    </xf>
    <xf numFmtId="43" fontId="22" fillId="68" borderId="12" xfId="2979" applyFont="1" applyFill="1" applyBorder="1" applyAlignment="1">
      <alignment horizontal="center" wrapText="1"/>
    </xf>
    <xf numFmtId="43" fontId="22" fillId="68" borderId="10" xfId="2979" applyFont="1" applyFill="1" applyBorder="1" applyAlignment="1">
      <alignment horizontal="center" wrapText="1"/>
    </xf>
    <xf numFmtId="0" fontId="22" fillId="69" borderId="46" xfId="2470" applyFont="1" applyFill="1" applyBorder="1" applyAlignment="1">
      <alignment horizontal="center"/>
    </xf>
    <xf numFmtId="0" fontId="22" fillId="69" borderId="13" xfId="2470" applyFont="1" applyFill="1" applyBorder="1" applyAlignment="1">
      <alignment horizontal="center"/>
    </xf>
    <xf numFmtId="2" fontId="22" fillId="69" borderId="10" xfId="2470" applyNumberFormat="1" applyFont="1" applyFill="1" applyBorder="1" applyAlignment="1">
      <alignment horizontal="center"/>
    </xf>
    <xf numFmtId="0" fontId="22" fillId="34" borderId="12" xfId="2470" applyFont="1" applyFill="1" applyBorder="1" applyAlignment="1">
      <alignment horizontal="center"/>
    </xf>
    <xf numFmtId="2" fontId="22" fillId="34" borderId="10" xfId="2470" applyNumberFormat="1" applyFont="1" applyFill="1" applyBorder="1" applyAlignment="1">
      <alignment horizontal="center"/>
    </xf>
    <xf numFmtId="0" fontId="22" fillId="67" borderId="10" xfId="2470" applyFont="1" applyFill="1" applyBorder="1" applyAlignment="1">
      <alignment horizontal="center"/>
    </xf>
    <xf numFmtId="2" fontId="22" fillId="67" borderId="10" xfId="2470" applyNumberFormat="1" applyFont="1" applyFill="1" applyBorder="1" applyAlignment="1">
      <alignment horizontal="center"/>
    </xf>
    <xf numFmtId="2" fontId="22" fillId="0" borderId="0" xfId="2470" applyNumberFormat="1" applyFont="1"/>
    <xf numFmtId="9" fontId="22" fillId="0" borderId="0" xfId="2978" applyFont="1" applyBorder="1"/>
    <xf numFmtId="0" fontId="19" fillId="71" borderId="10" xfId="2470" applyFill="1" applyBorder="1" applyAlignment="1">
      <alignment horizontal="center"/>
    </xf>
    <xf numFmtId="0" fontId="19" fillId="0" borderId="0" xfId="2470" quotePrefix="1" applyAlignment="1">
      <alignment horizontal="center"/>
    </xf>
    <xf numFmtId="43" fontId="20" fillId="0" borderId="0" xfId="2470" applyNumberFormat="1" applyFont="1" applyAlignment="1">
      <alignment horizontal="center"/>
    </xf>
    <xf numFmtId="0" fontId="20" fillId="0" borderId="26" xfId="2470" applyFont="1" applyBorder="1"/>
    <xf numFmtId="0" fontId="22" fillId="0" borderId="26" xfId="2470" applyFont="1" applyBorder="1"/>
    <xf numFmtId="2" fontId="20" fillId="0" borderId="26" xfId="2470" applyNumberFormat="1" applyFont="1" applyBorder="1"/>
    <xf numFmtId="0" fontId="22" fillId="0" borderId="26" xfId="2470" applyFont="1" applyBorder="1" applyAlignment="1">
      <alignment horizontal="center"/>
    </xf>
    <xf numFmtId="9" fontId="20" fillId="0" borderId="26" xfId="2978" applyFont="1" applyBorder="1"/>
    <xf numFmtId="0" fontId="22" fillId="0" borderId="26" xfId="2470" quotePrefix="1" applyFont="1" applyBorder="1" applyAlignment="1">
      <alignment horizontal="center"/>
    </xf>
    <xf numFmtId="0" fontId="55" fillId="0" borderId="43" xfId="0" applyFont="1" applyBorder="1"/>
    <xf numFmtId="0" fontId="55" fillId="0" borderId="44" xfId="0" applyFont="1" applyBorder="1"/>
    <xf numFmtId="0" fontId="55" fillId="0" borderId="43" xfId="0" applyFont="1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22" fillId="0" borderId="45" xfId="0" applyFont="1" applyBorder="1"/>
    <xf numFmtId="0" fontId="20" fillId="0" borderId="46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2" fillId="0" borderId="12" xfId="0" applyFont="1" applyBorder="1"/>
    <xf numFmtId="0" fontId="22" fillId="0" borderId="46" xfId="0" applyFont="1" applyBorder="1"/>
    <xf numFmtId="0" fontId="22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2" fillId="0" borderId="13" xfId="0" applyFont="1" applyBorder="1"/>
    <xf numFmtId="0" fontId="22" fillId="0" borderId="0" xfId="0" applyFont="1" applyAlignment="1">
      <alignment horizontal="center" vertical="center"/>
    </xf>
    <xf numFmtId="0" fontId="24" fillId="0" borderId="44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22" fillId="0" borderId="12" xfId="2985" applyBorder="1" applyAlignment="1">
      <alignment vertical="center"/>
    </xf>
    <xf numFmtId="0" fontId="20" fillId="68" borderId="45" xfId="2985" applyFont="1" applyFill="1" applyBorder="1" applyAlignment="1">
      <alignment vertical="center"/>
    </xf>
    <xf numFmtId="0" fontId="20" fillId="68" borderId="65" xfId="2985" applyFont="1" applyFill="1" applyBorder="1" applyAlignment="1">
      <alignment vertical="center"/>
    </xf>
    <xf numFmtId="0" fontId="20" fillId="68" borderId="65" xfId="2985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2" fontId="20" fillId="68" borderId="72" xfId="0" applyNumberFormat="1" applyFont="1" applyFill="1" applyBorder="1" applyAlignment="1">
      <alignment horizontal="center" vertical="center" wrapText="1"/>
    </xf>
    <xf numFmtId="0" fontId="20" fillId="73" borderId="72" xfId="0" applyFont="1" applyFill="1" applyBorder="1" applyAlignment="1">
      <alignment horizontal="center" vertical="center" wrapText="1"/>
    </xf>
    <xf numFmtId="2" fontId="20" fillId="34" borderId="72" xfId="0" applyNumberFormat="1" applyFont="1" applyFill="1" applyBorder="1" applyAlignment="1">
      <alignment horizontal="center" vertical="center" wrapText="1"/>
    </xf>
    <xf numFmtId="0" fontId="22" fillId="68" borderId="46" xfId="2985" applyFill="1" applyBorder="1" applyAlignment="1">
      <alignment horizontal="center" vertical="center" wrapText="1"/>
    </xf>
    <xf numFmtId="0" fontId="22" fillId="68" borderId="12" xfId="2985" applyFill="1" applyBorder="1" applyAlignment="1">
      <alignment horizontal="center" vertical="center" wrapText="1"/>
    </xf>
    <xf numFmtId="0" fontId="22" fillId="68" borderId="13" xfId="2979" applyNumberFormat="1" applyFont="1" applyFill="1" applyBorder="1" applyAlignment="1">
      <alignment horizontal="center" vertical="center" wrapText="1"/>
    </xf>
    <xf numFmtId="0" fontId="22" fillId="68" borderId="43" xfId="2979" applyNumberFormat="1" applyFont="1" applyFill="1" applyBorder="1" applyAlignment="1">
      <alignment horizontal="center" vertical="center" textRotation="90" wrapText="1"/>
    </xf>
    <xf numFmtId="0" fontId="20" fillId="0" borderId="43" xfId="0" applyFont="1" applyBorder="1" applyAlignment="1">
      <alignment horizontal="center" vertical="center"/>
    </xf>
    <xf numFmtId="0" fontId="22" fillId="69" borderId="46" xfId="2985" applyFill="1" applyBorder="1" applyAlignment="1">
      <alignment horizontal="center" vertical="center" wrapText="1"/>
    </xf>
    <xf numFmtId="0" fontId="22" fillId="69" borderId="12" xfId="2985" applyFill="1" applyBorder="1" applyAlignment="1">
      <alignment horizontal="center" vertical="center" wrapText="1"/>
    </xf>
    <xf numFmtId="0" fontId="22" fillId="69" borderId="13" xfId="2985" applyFill="1" applyBorder="1" applyAlignment="1">
      <alignment horizontal="center" vertical="center" wrapText="1"/>
    </xf>
    <xf numFmtId="0" fontId="22" fillId="34" borderId="73" xfId="2985" applyFill="1" applyBorder="1" applyAlignment="1">
      <alignment horizontal="center" vertical="center" wrapText="1"/>
    </xf>
    <xf numFmtId="0" fontId="22" fillId="34" borderId="48" xfId="2985" applyFill="1" applyBorder="1" applyAlignment="1">
      <alignment horizontal="center" vertical="center" wrapText="1"/>
    </xf>
    <xf numFmtId="0" fontId="22" fillId="34" borderId="51" xfId="2979" applyNumberFormat="1" applyFont="1" applyFill="1" applyBorder="1" applyAlignment="1">
      <alignment horizontal="center" vertical="center" wrapText="1"/>
    </xf>
    <xf numFmtId="0" fontId="22" fillId="67" borderId="73" xfId="2985" applyFill="1" applyBorder="1" applyAlignment="1">
      <alignment horizontal="center" vertical="center" wrapText="1"/>
    </xf>
    <xf numFmtId="0" fontId="22" fillId="67" borderId="48" xfId="2985" applyFill="1" applyBorder="1" applyAlignment="1">
      <alignment horizontal="center" vertical="center" wrapText="1"/>
    </xf>
    <xf numFmtId="0" fontId="22" fillId="67" borderId="51" xfId="2979" applyNumberFormat="1" applyFont="1" applyFill="1" applyBorder="1" applyAlignment="1">
      <alignment horizontal="center" vertical="center" wrapText="1"/>
    </xf>
    <xf numFmtId="2" fontId="20" fillId="71" borderId="2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textRotation="90"/>
    </xf>
    <xf numFmtId="0" fontId="20" fillId="33" borderId="45" xfId="0" applyFont="1" applyFill="1" applyBorder="1" applyAlignment="1">
      <alignment horizontal="center" vertical="center" wrapText="1"/>
    </xf>
    <xf numFmtId="3" fontId="20" fillId="0" borderId="0" xfId="2804" applyNumberFormat="1" applyFont="1" applyAlignment="1">
      <alignment horizontal="center" vertical="center" textRotation="90" wrapText="1"/>
    </xf>
    <xf numFmtId="0" fontId="22" fillId="74" borderId="0" xfId="0" applyFont="1" applyFill="1" applyAlignment="1">
      <alignment horizontal="center" wrapText="1"/>
    </xf>
    <xf numFmtId="43" fontId="22" fillId="0" borderId="12" xfId="2979" applyFont="1" applyBorder="1" applyAlignment="1">
      <alignment vertical="center"/>
    </xf>
    <xf numFmtId="164" fontId="22" fillId="68" borderId="46" xfId="2979" applyNumberFormat="1" applyFont="1" applyFill="1" applyBorder="1" applyAlignment="1">
      <alignment vertical="center"/>
    </xf>
    <xf numFmtId="166" fontId="22" fillId="68" borderId="12" xfId="2979" applyNumberFormat="1" applyFont="1" applyFill="1" applyBorder="1" applyAlignment="1">
      <alignment vertical="center"/>
    </xf>
    <xf numFmtId="166" fontId="22" fillId="68" borderId="13" xfId="2979" applyNumberFormat="1" applyFont="1" applyFill="1" applyBorder="1" applyAlignment="1">
      <alignment vertical="center"/>
    </xf>
    <xf numFmtId="166" fontId="22" fillId="68" borderId="10" xfId="2979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164" fontId="22" fillId="69" borderId="46" xfId="2979" applyNumberFormat="1" applyFont="1" applyFill="1" applyBorder="1" applyAlignment="1">
      <alignment vertical="center"/>
    </xf>
    <xf numFmtId="166" fontId="22" fillId="69" borderId="13" xfId="2979" applyNumberFormat="1" applyFont="1" applyFill="1" applyBorder="1" applyAlignment="1">
      <alignment vertical="center"/>
    </xf>
    <xf numFmtId="164" fontId="22" fillId="34" borderId="44" xfId="2979" applyNumberFormat="1" applyFont="1" applyFill="1" applyBorder="1" applyAlignment="1">
      <alignment horizontal="center" vertical="center"/>
    </xf>
    <xf numFmtId="167" fontId="22" fillId="34" borderId="45" xfId="2979" applyNumberFormat="1" applyFont="1" applyFill="1" applyBorder="1" applyAlignment="1">
      <alignment horizontal="center" vertical="center"/>
    </xf>
    <xf numFmtId="166" fontId="22" fillId="34" borderId="65" xfId="2979" applyNumberFormat="1" applyFont="1" applyFill="1" applyBorder="1" applyAlignment="1">
      <alignment horizontal="center" vertical="center"/>
    </xf>
    <xf numFmtId="164" fontId="22" fillId="67" borderId="45" xfId="2979" applyNumberFormat="1" applyFont="1" applyFill="1" applyBorder="1" applyAlignment="1">
      <alignment horizontal="center" vertical="center"/>
    </xf>
    <xf numFmtId="166" fontId="22" fillId="67" borderId="45" xfId="2979" applyNumberFormat="1" applyFont="1" applyFill="1" applyBorder="1" applyAlignment="1">
      <alignment horizontal="center" vertical="center"/>
    </xf>
    <xf numFmtId="166" fontId="22" fillId="67" borderId="65" xfId="2979" applyNumberFormat="1" applyFont="1" applyFill="1" applyBorder="1" applyAlignment="1">
      <alignment horizontal="center" vertical="center"/>
    </xf>
    <xf numFmtId="164" fontId="22" fillId="71" borderId="24" xfId="2979" applyNumberFormat="1" applyFont="1" applyFill="1" applyBorder="1" applyAlignment="1" applyProtection="1">
      <alignment horizontal="center" vertical="center" wrapText="1"/>
    </xf>
    <xf numFmtId="164" fontId="22" fillId="68" borderId="77" xfId="2249" applyNumberFormat="1" applyFont="1" applyFill="1" applyBorder="1" applyAlignment="1" applyProtection="1">
      <alignment horizontal="right" vertical="center" wrapText="1"/>
    </xf>
    <xf numFmtId="164" fontId="22" fillId="73" borderId="78" xfId="2249" applyNumberFormat="1" applyFont="1" applyFill="1" applyBorder="1" applyAlignment="1">
      <alignment vertical="center"/>
    </xf>
    <xf numFmtId="164" fontId="22" fillId="34" borderId="78" xfId="2249" applyNumberFormat="1" applyFont="1" applyFill="1" applyBorder="1" applyAlignment="1">
      <alignment vertical="center"/>
    </xf>
    <xf numFmtId="164" fontId="22" fillId="33" borderId="43" xfId="2979" applyNumberFormat="1" applyFont="1" applyFill="1" applyBorder="1" applyAlignment="1">
      <alignment horizontal="center"/>
    </xf>
    <xf numFmtId="0" fontId="22" fillId="0" borderId="0" xfId="2804" applyFont="1" applyAlignment="1">
      <alignment horizontal="center"/>
    </xf>
    <xf numFmtId="164" fontId="22" fillId="75" borderId="0" xfId="0" applyNumberFormat="1" applyFont="1" applyFill="1"/>
    <xf numFmtId="43" fontId="22" fillId="0" borderId="12" xfId="2979" applyFont="1" applyFill="1" applyBorder="1" applyAlignment="1">
      <alignment vertical="center"/>
    </xf>
    <xf numFmtId="43" fontId="58" fillId="0" borderId="12" xfId="2979" applyFont="1" applyFill="1" applyBorder="1" applyAlignment="1">
      <alignment horizontal="center" vertical="center"/>
    </xf>
    <xf numFmtId="43" fontId="22" fillId="0" borderId="12" xfId="2979" applyFont="1" applyBorder="1" applyAlignment="1">
      <alignment horizontal="center" vertical="center"/>
    </xf>
    <xf numFmtId="43" fontId="22" fillId="0" borderId="12" xfId="2979" applyFont="1" applyFill="1" applyBorder="1" applyAlignment="1">
      <alignment horizontal="center" vertical="center"/>
    </xf>
    <xf numFmtId="0" fontId="22" fillId="67" borderId="45" xfId="2979" applyNumberFormat="1" applyFont="1" applyFill="1" applyBorder="1" applyAlignment="1">
      <alignment horizontal="center" vertical="center"/>
    </xf>
    <xf numFmtId="43" fontId="19" fillId="0" borderId="12" xfId="2979" applyFont="1" applyBorder="1" applyAlignment="1">
      <alignment horizontal="center" vertical="center"/>
    </xf>
    <xf numFmtId="43" fontId="19" fillId="0" borderId="12" xfId="2979" applyFont="1" applyBorder="1" applyAlignment="1">
      <alignment vertical="center"/>
    </xf>
    <xf numFmtId="0" fontId="0" fillId="76" borderId="0" xfId="0" applyFill="1"/>
    <xf numFmtId="0" fontId="0" fillId="76" borderId="0" xfId="0" applyFill="1" applyAlignment="1">
      <alignment horizontal="center"/>
    </xf>
    <xf numFmtId="0" fontId="22" fillId="33" borderId="26" xfId="0" applyFont="1" applyFill="1" applyBorder="1" applyAlignment="1">
      <alignment horizontal="right"/>
    </xf>
    <xf numFmtId="166" fontId="20" fillId="34" borderId="13" xfId="2979" applyNumberFormat="1" applyFont="1" applyFill="1" applyBorder="1" applyAlignment="1">
      <alignment vertical="center"/>
    </xf>
    <xf numFmtId="3" fontId="20" fillId="0" borderId="79" xfId="0" applyNumberFormat="1" applyFont="1" applyBorder="1" applyAlignment="1">
      <alignment horizontal="center" vertical="center"/>
    </xf>
    <xf numFmtId="3" fontId="20" fillId="68" borderId="79" xfId="0" applyNumberFormat="1" applyFont="1" applyFill="1" applyBorder="1" applyAlignment="1">
      <alignment horizontal="center" vertical="center"/>
    </xf>
    <xf numFmtId="1" fontId="20" fillId="73" borderId="79" xfId="2249" applyNumberFormat="1" applyFont="1" applyFill="1" applyBorder="1" applyAlignment="1">
      <alignment horizontal="center" vertical="center"/>
    </xf>
    <xf numFmtId="3" fontId="20" fillId="34" borderId="7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0" fillId="0" borderId="0" xfId="2804" applyFont="1" applyAlignment="1">
      <alignment horizontal="center"/>
    </xf>
    <xf numFmtId="0" fontId="20" fillId="33" borderId="0" xfId="0" applyFont="1" applyFill="1" applyAlignment="1">
      <alignment horizontal="center"/>
    </xf>
    <xf numFmtId="3" fontId="65" fillId="68" borderId="46" xfId="2985" applyNumberFormat="1" applyFont="1" applyFill="1" applyBorder="1" applyAlignment="1">
      <alignment vertical="center"/>
    </xf>
    <xf numFmtId="43" fontId="22" fillId="0" borderId="10" xfId="2979" applyFont="1" applyFill="1" applyBorder="1" applyAlignment="1">
      <alignment horizontal="center" vertical="center"/>
    </xf>
    <xf numFmtId="0" fontId="0" fillId="0" borderId="10" xfId="0" applyBorder="1"/>
    <xf numFmtId="3" fontId="65" fillId="69" borderId="46" xfId="2985" applyNumberFormat="1" applyFont="1" applyFill="1" applyBorder="1" applyAlignment="1">
      <alignment vertical="center"/>
    </xf>
    <xf numFmtId="43" fontId="22" fillId="0" borderId="13" xfId="2979" applyFont="1" applyFill="1" applyBorder="1" applyAlignment="1">
      <alignment vertical="center"/>
    </xf>
    <xf numFmtId="3" fontId="65" fillId="34" borderId="46" xfId="2985" applyNumberFormat="1" applyFont="1" applyFill="1" applyBorder="1" applyAlignment="1">
      <alignment horizontal="center" vertical="center"/>
    </xf>
    <xf numFmtId="3" fontId="65" fillId="67" borderId="46" xfId="2985" applyNumberFormat="1" applyFont="1" applyFill="1" applyBorder="1" applyAlignment="1">
      <alignment horizontal="center" vertical="center"/>
    </xf>
    <xf numFmtId="164" fontId="20" fillId="33" borderId="43" xfId="2979" applyNumberFormat="1" applyFont="1" applyFill="1" applyBorder="1" applyAlignment="1">
      <alignment horizontal="center" vertical="center"/>
    </xf>
    <xf numFmtId="164" fontId="66" fillId="68" borderId="72" xfId="2249" applyNumberFormat="1" applyFont="1" applyFill="1" applyBorder="1" applyAlignment="1">
      <alignment horizontal="center" vertical="center"/>
    </xf>
    <xf numFmtId="164" fontId="66" fillId="73" borderId="72" xfId="2249" applyNumberFormat="1" applyFont="1" applyFill="1" applyBorder="1" applyAlignment="1">
      <alignment horizontal="center" vertical="center"/>
    </xf>
    <xf numFmtId="164" fontId="66" fillId="34" borderId="72" xfId="2249" applyNumberFormat="1" applyFont="1" applyFill="1" applyBorder="1" applyAlignment="1">
      <alignment horizontal="center" vertical="center"/>
    </xf>
    <xf numFmtId="164" fontId="20" fillId="33" borderId="43" xfId="2979" applyNumberFormat="1" applyFont="1" applyFill="1" applyBorder="1" applyAlignment="1">
      <alignment horizontal="center"/>
    </xf>
    <xf numFmtId="164" fontId="66" fillId="75" borderId="72" xfId="2249" applyNumberFormat="1" applyFont="1" applyFill="1" applyBorder="1" applyAlignment="1">
      <alignment horizontal="center" vertical="center"/>
    </xf>
    <xf numFmtId="0" fontId="22" fillId="76" borderId="0" xfId="0" applyFont="1" applyFill="1"/>
    <xf numFmtId="0" fontId="22" fillId="76" borderId="0" xfId="0" applyFont="1" applyFill="1" applyAlignment="1">
      <alignment horizontal="center"/>
    </xf>
    <xf numFmtId="0" fontId="67" fillId="0" borderId="0" xfId="2804" applyFont="1"/>
    <xf numFmtId="166" fontId="20" fillId="33" borderId="0" xfId="0" applyNumberFormat="1" applyFont="1" applyFill="1" applyAlignment="1">
      <alignment horizontal="center"/>
    </xf>
    <xf numFmtId="166" fontId="22" fillId="0" borderId="12" xfId="2985" applyNumberFormat="1" applyBorder="1" applyAlignment="1">
      <alignment vertical="center"/>
    </xf>
    <xf numFmtId="166" fontId="22" fillId="0" borderId="46" xfId="2985" applyNumberFormat="1" applyBorder="1" applyAlignment="1">
      <alignment vertical="center"/>
    </xf>
    <xf numFmtId="43" fontId="20" fillId="68" borderId="13" xfId="2979" applyFont="1" applyFill="1" applyBorder="1" applyAlignment="1">
      <alignment vertical="center"/>
    </xf>
    <xf numFmtId="166" fontId="20" fillId="68" borderId="13" xfId="2979" applyNumberFormat="1" applyFont="1" applyFill="1" applyBorder="1" applyAlignment="1">
      <alignment vertical="center"/>
    </xf>
    <xf numFmtId="166" fontId="20" fillId="68" borderId="10" xfId="2979" applyNumberFormat="1" applyFont="1" applyFill="1" applyBorder="1" applyAlignment="1">
      <alignment horizontal="center" vertical="center"/>
    </xf>
    <xf numFmtId="166" fontId="0" fillId="0" borderId="10" xfId="0" applyNumberFormat="1" applyBorder="1"/>
    <xf numFmtId="43" fontId="20" fillId="69" borderId="12" xfId="2979" applyFont="1" applyFill="1" applyBorder="1" applyAlignment="1">
      <alignment vertical="center"/>
    </xf>
    <xf numFmtId="166" fontId="20" fillId="69" borderId="12" xfId="2979" applyNumberFormat="1" applyFont="1" applyFill="1" applyBorder="1" applyAlignment="1">
      <alignment vertical="center"/>
    </xf>
    <xf numFmtId="166" fontId="22" fillId="0" borderId="46" xfId="2985" applyNumberFormat="1" applyBorder="1" applyAlignment="1">
      <alignment horizontal="center" vertical="center"/>
    </xf>
    <xf numFmtId="43" fontId="20" fillId="34" borderId="13" xfId="2979" applyFont="1" applyFill="1" applyBorder="1" applyAlignment="1">
      <alignment vertical="center"/>
    </xf>
    <xf numFmtId="166" fontId="22" fillId="0" borderId="10" xfId="2985" applyNumberFormat="1" applyBorder="1" applyAlignment="1">
      <alignment horizontal="center" vertical="center"/>
    </xf>
    <xf numFmtId="43" fontId="20" fillId="67" borderId="13" xfId="2979" applyFont="1" applyFill="1" applyBorder="1" applyAlignment="1">
      <alignment vertical="center"/>
    </xf>
    <xf numFmtId="166" fontId="20" fillId="67" borderId="13" xfId="2979" applyNumberFormat="1" applyFont="1" applyFill="1" applyBorder="1" applyAlignment="1">
      <alignment vertical="center"/>
    </xf>
    <xf numFmtId="166" fontId="22" fillId="76" borderId="0" xfId="0" applyNumberFormat="1" applyFont="1" applyFill="1"/>
    <xf numFmtId="166" fontId="22" fillId="76" borderId="0" xfId="0" applyNumberFormat="1" applyFont="1" applyFill="1" applyAlignment="1">
      <alignment horizontal="center"/>
    </xf>
    <xf numFmtId="166" fontId="22" fillId="0" borderId="10" xfId="2985" applyNumberFormat="1" applyBorder="1" applyAlignment="1">
      <alignment vertical="center"/>
    </xf>
    <xf numFmtId="165" fontId="0" fillId="0" borderId="0" xfId="2978" applyNumberFormat="1" applyFont="1"/>
    <xf numFmtId="166" fontId="58" fillId="0" borderId="45" xfId="2979" applyNumberFormat="1" applyFont="1" applyBorder="1"/>
    <xf numFmtId="164" fontId="68" fillId="68" borderId="46" xfId="2979" applyNumberFormat="1" applyFont="1" applyFill="1" applyBorder="1"/>
    <xf numFmtId="166" fontId="58" fillId="0" borderId="10" xfId="0" applyNumberFormat="1" applyFont="1" applyBorder="1"/>
    <xf numFmtId="164" fontId="69" fillId="69" borderId="44" xfId="2979" applyNumberFormat="1" applyFont="1" applyFill="1" applyBorder="1"/>
    <xf numFmtId="164" fontId="68" fillId="34" borderId="44" xfId="2979" applyNumberFormat="1" applyFont="1" applyFill="1" applyBorder="1" applyAlignment="1">
      <alignment horizontal="center"/>
    </xf>
    <xf numFmtId="164" fontId="68" fillId="67" borderId="44" xfId="2979" applyNumberFormat="1" applyFont="1" applyFill="1" applyBorder="1" applyAlignment="1">
      <alignment horizontal="center"/>
    </xf>
    <xf numFmtId="164" fontId="69" fillId="69" borderId="45" xfId="2979" applyNumberFormat="1" applyFont="1" applyFill="1" applyBorder="1"/>
    <xf numFmtId="166" fontId="58" fillId="0" borderId="12" xfId="2979" applyNumberFormat="1" applyFont="1" applyBorder="1"/>
    <xf numFmtId="164" fontId="68" fillId="34" borderId="46" xfId="2979" applyNumberFormat="1" applyFont="1" applyFill="1" applyBorder="1" applyAlignment="1">
      <alignment horizontal="center"/>
    </xf>
    <xf numFmtId="164" fontId="68" fillId="67" borderId="46" xfId="2979" applyNumberFormat="1" applyFont="1" applyFill="1" applyBorder="1" applyAlignment="1">
      <alignment horizontal="center"/>
    </xf>
    <xf numFmtId="164" fontId="68" fillId="68" borderId="73" xfId="2979" applyNumberFormat="1" applyFont="1" applyFill="1" applyBorder="1"/>
    <xf numFmtId="164" fontId="68" fillId="34" borderId="73" xfId="2979" applyNumberFormat="1" applyFont="1" applyFill="1" applyBorder="1" applyAlignment="1">
      <alignment horizontal="center"/>
    </xf>
    <xf numFmtId="164" fontId="68" fillId="67" borderId="73" xfId="2979" applyNumberFormat="1" applyFont="1" applyFill="1" applyBorder="1" applyAlignment="1">
      <alignment horizontal="center"/>
    </xf>
    <xf numFmtId="166" fontId="58" fillId="0" borderId="23" xfId="2979" applyNumberFormat="1" applyFont="1" applyBorder="1"/>
    <xf numFmtId="0" fontId="70" fillId="0" borderId="0" xfId="0" applyFont="1"/>
    <xf numFmtId="0" fontId="0" fillId="0" borderId="23" xfId="0" applyBorder="1"/>
    <xf numFmtId="0" fontId="58" fillId="0" borderId="0" xfId="0" applyFont="1"/>
    <xf numFmtId="0" fontId="58" fillId="0" borderId="0" xfId="0" applyFont="1" applyAlignment="1">
      <alignment horizontal="left"/>
    </xf>
    <xf numFmtId="0" fontId="22" fillId="0" borderId="23" xfId="0" applyFont="1" applyBorder="1"/>
    <xf numFmtId="165" fontId="22" fillId="0" borderId="0" xfId="2978" applyNumberFormat="1" applyFont="1" applyBorder="1"/>
    <xf numFmtId="0" fontId="22" fillId="0" borderId="10" xfId="0" applyFont="1" applyBorder="1"/>
    <xf numFmtId="43" fontId="0" fillId="0" borderId="0" xfId="0" applyNumberFormat="1" applyAlignment="1">
      <alignment horizontal="center"/>
    </xf>
    <xf numFmtId="164" fontId="0" fillId="0" borderId="0" xfId="0" applyNumberFormat="1"/>
    <xf numFmtId="0" fontId="55" fillId="0" borderId="0" xfId="0" applyFont="1"/>
    <xf numFmtId="0" fontId="24" fillId="0" borderId="0" xfId="0" applyFont="1" applyAlignment="1">
      <alignment horizontal="center"/>
    </xf>
    <xf numFmtId="3" fontId="20" fillId="0" borderId="49" xfId="0" applyNumberFormat="1" applyFont="1" applyBorder="1" applyAlignment="1">
      <alignment horizontal="center" textRotation="90" wrapText="1"/>
    </xf>
    <xf numFmtId="2" fontId="20" fillId="33" borderId="81" xfId="0" applyNumberFormat="1" applyFont="1" applyFill="1" applyBorder="1" applyAlignment="1">
      <alignment horizontal="center" vertical="center" wrapText="1"/>
    </xf>
    <xf numFmtId="2" fontId="20" fillId="33" borderId="23" xfId="0" applyNumberFormat="1" applyFont="1" applyFill="1" applyBorder="1" applyAlignment="1">
      <alignment horizontal="center" vertical="center" wrapText="1"/>
    </xf>
    <xf numFmtId="2" fontId="20" fillId="0" borderId="43" xfId="0" applyNumberFormat="1" applyFont="1" applyBorder="1" applyAlignment="1">
      <alignment horizontal="center" vertical="center" wrapText="1"/>
    </xf>
    <xf numFmtId="2" fontId="20" fillId="33" borderId="12" xfId="2470" applyNumberFormat="1" applyFont="1" applyFill="1" applyBorder="1" applyAlignment="1">
      <alignment horizontal="center" vertical="center" wrapText="1"/>
    </xf>
    <xf numFmtId="3" fontId="22" fillId="0" borderId="10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horizontal="right" wrapText="1"/>
    </xf>
    <xf numFmtId="164" fontId="22" fillId="65" borderId="22" xfId="2979" applyNumberFormat="1" applyFont="1" applyFill="1" applyBorder="1" applyAlignment="1"/>
    <xf numFmtId="164" fontId="22" fillId="65" borderId="0" xfId="0" applyNumberFormat="1" applyFont="1" applyFill="1"/>
    <xf numFmtId="164" fontId="22" fillId="0" borderId="0" xfId="0" applyNumberFormat="1" applyFont="1" applyAlignment="1">
      <alignment horizontal="center"/>
    </xf>
    <xf numFmtId="164" fontId="44" fillId="0" borderId="14" xfId="0" applyNumberFormat="1" applyFont="1" applyBorder="1" applyAlignment="1">
      <alignment horizontal="center"/>
    </xf>
    <xf numFmtId="0" fontId="58" fillId="0" borderId="10" xfId="0" applyFont="1" applyBorder="1"/>
    <xf numFmtId="0" fontId="45" fillId="0" borderId="0" xfId="0" applyFont="1" applyAlignment="1">
      <alignment horizontal="right"/>
    </xf>
    <xf numFmtId="43" fontId="45" fillId="0" borderId="0" xfId="2979" applyFont="1" applyFill="1" applyBorder="1" applyAlignment="1">
      <alignment horizontal="center"/>
    </xf>
    <xf numFmtId="164" fontId="45" fillId="77" borderId="0" xfId="2979" applyNumberFormat="1" applyFont="1" applyFill="1" applyBorder="1" applyAlignment="1">
      <alignment horizontal="center"/>
    </xf>
    <xf numFmtId="0" fontId="22" fillId="63" borderId="10" xfId="0" applyFont="1" applyFill="1" applyBorder="1"/>
    <xf numFmtId="0" fontId="22" fillId="63" borderId="0" xfId="0" applyFont="1" applyFill="1"/>
    <xf numFmtId="164" fontId="22" fillId="63" borderId="0" xfId="0" applyNumberFormat="1" applyFont="1" applyFill="1" applyAlignment="1">
      <alignment horizontal="center"/>
    </xf>
    <xf numFmtId="164" fontId="22" fillId="63" borderId="0" xfId="0" applyNumberFormat="1" applyFont="1" applyFill="1"/>
    <xf numFmtId="165" fontId="22" fillId="63" borderId="0" xfId="2978" applyNumberFormat="1" applyFont="1" applyFill="1"/>
    <xf numFmtId="164" fontId="44" fillId="63" borderId="14" xfId="0" applyNumberFormat="1" applyFont="1" applyFill="1" applyBorder="1" applyAlignment="1">
      <alignment horizontal="center"/>
    </xf>
    <xf numFmtId="0" fontId="20" fillId="63" borderId="0" xfId="0" applyFont="1" applyFill="1"/>
    <xf numFmtId="0" fontId="58" fillId="63" borderId="10" xfId="0" applyFont="1" applyFill="1" applyBorder="1"/>
    <xf numFmtId="0" fontId="58" fillId="63" borderId="0" xfId="0" applyFont="1" applyFill="1"/>
    <xf numFmtId="0" fontId="22" fillId="65" borderId="10" xfId="0" applyFont="1" applyFill="1" applyBorder="1"/>
    <xf numFmtId="0" fontId="22" fillId="65" borderId="0" xfId="0" applyFont="1" applyFill="1"/>
    <xf numFmtId="0" fontId="22" fillId="65" borderId="0" xfId="0" applyFont="1" applyFill="1" applyAlignment="1">
      <alignment horizontal="center"/>
    </xf>
    <xf numFmtId="164" fontId="22" fillId="65" borderId="0" xfId="0" applyNumberFormat="1" applyFont="1" applyFill="1" applyAlignment="1">
      <alignment horizontal="center"/>
    </xf>
    <xf numFmtId="165" fontId="22" fillId="65" borderId="0" xfId="2978" applyNumberFormat="1" applyFont="1" applyFill="1"/>
    <xf numFmtId="164" fontId="44" fillId="65" borderId="14" xfId="0" applyNumberFormat="1" applyFont="1" applyFill="1" applyBorder="1" applyAlignment="1">
      <alignment horizontal="center"/>
    </xf>
    <xf numFmtId="0" fontId="20" fillId="65" borderId="0" xfId="0" applyFont="1" applyFill="1"/>
    <xf numFmtId="0" fontId="58" fillId="65" borderId="10" xfId="0" applyFont="1" applyFill="1" applyBorder="1"/>
    <xf numFmtId="0" fontId="58" fillId="65" borderId="0" xfId="0" applyFont="1" applyFill="1"/>
    <xf numFmtId="0" fontId="22" fillId="58" borderId="10" xfId="0" applyFont="1" applyFill="1" applyBorder="1"/>
    <xf numFmtId="0" fontId="22" fillId="58" borderId="0" xfId="0" applyFont="1" applyFill="1" applyAlignment="1">
      <alignment horizontal="center"/>
    </xf>
    <xf numFmtId="164" fontId="22" fillId="58" borderId="0" xfId="0" applyNumberFormat="1" applyFont="1" applyFill="1" applyAlignment="1">
      <alignment horizontal="center"/>
    </xf>
    <xf numFmtId="164" fontId="22" fillId="58" borderId="0" xfId="0" applyNumberFormat="1" applyFont="1" applyFill="1"/>
    <xf numFmtId="43" fontId="22" fillId="58" borderId="0" xfId="2979" applyFont="1" applyFill="1"/>
    <xf numFmtId="0" fontId="20" fillId="58" borderId="0" xfId="0" applyFont="1" applyFill="1"/>
    <xf numFmtId="0" fontId="58" fillId="58" borderId="10" xfId="0" applyFont="1" applyFill="1" applyBorder="1"/>
    <xf numFmtId="9" fontId="0" fillId="0" borderId="0" xfId="2978" applyFont="1"/>
    <xf numFmtId="169" fontId="0" fillId="0" borderId="0" xfId="2979" applyNumberFormat="1" applyFont="1" applyFill="1"/>
    <xf numFmtId="0" fontId="22" fillId="59" borderId="10" xfId="0" applyFont="1" applyFill="1" applyBorder="1"/>
    <xf numFmtId="0" fontId="22" fillId="59" borderId="0" xfId="0" applyFont="1" applyFill="1" applyAlignment="1">
      <alignment horizontal="center"/>
    </xf>
    <xf numFmtId="164" fontId="22" fillId="59" borderId="0" xfId="0" applyNumberFormat="1" applyFont="1" applyFill="1" applyAlignment="1">
      <alignment horizontal="center"/>
    </xf>
    <xf numFmtId="164" fontId="44" fillId="59" borderId="14" xfId="0" applyNumberFormat="1" applyFont="1" applyFill="1" applyBorder="1" applyAlignment="1">
      <alignment horizontal="center"/>
    </xf>
    <xf numFmtId="0" fontId="20" fillId="59" borderId="0" xfId="0" applyFont="1" applyFill="1"/>
    <xf numFmtId="0" fontId="58" fillId="59" borderId="10" xfId="0" applyFont="1" applyFill="1" applyBorder="1"/>
    <xf numFmtId="0" fontId="58" fillId="59" borderId="0" xfId="0" applyFont="1" applyFill="1"/>
    <xf numFmtId="164" fontId="44" fillId="66" borderId="14" xfId="0" applyNumberFormat="1" applyFont="1" applyFill="1" applyBorder="1" applyAlignment="1">
      <alignment horizontal="center"/>
    </xf>
    <xf numFmtId="0" fontId="20" fillId="66" borderId="0" xfId="0" applyFont="1" applyFill="1"/>
    <xf numFmtId="0" fontId="22" fillId="66" borderId="0" xfId="0" applyFont="1" applyFill="1"/>
    <xf numFmtId="0" fontId="20" fillId="66" borderId="0" xfId="2470" applyFont="1" applyFill="1" applyAlignment="1">
      <alignment horizontal="center"/>
    </xf>
    <xf numFmtId="0" fontId="0" fillId="58" borderId="0" xfId="0" applyFill="1"/>
    <xf numFmtId="0" fontId="0" fillId="58" borderId="0" xfId="0" applyFill="1" applyAlignment="1">
      <alignment horizontal="center"/>
    </xf>
    <xf numFmtId="0" fontId="20" fillId="58" borderId="0" xfId="0" applyFont="1" applyFill="1" applyAlignment="1">
      <alignment horizontal="center"/>
    </xf>
    <xf numFmtId="0" fontId="43" fillId="33" borderId="0" xfId="2470" applyFont="1" applyFill="1"/>
    <xf numFmtId="2" fontId="20" fillId="0" borderId="0" xfId="2470" applyNumberFormat="1" applyFont="1" applyAlignment="1">
      <alignment horizontal="center" vertical="center" wrapText="1"/>
    </xf>
    <xf numFmtId="3" fontId="22" fillId="0" borderId="0" xfId="2470" applyNumberFormat="1" applyFont="1" applyAlignment="1">
      <alignment horizontal="right" wrapText="1"/>
    </xf>
    <xf numFmtId="43" fontId="19" fillId="0" borderId="0" xfId="2470" applyNumberFormat="1"/>
    <xf numFmtId="43" fontId="22" fillId="0" borderId="0" xfId="2979" applyFont="1"/>
    <xf numFmtId="164" fontId="22" fillId="0" borderId="0" xfId="2978" applyNumberFormat="1" applyFont="1"/>
    <xf numFmtId="0" fontId="49" fillId="0" borderId="0" xfId="2983"/>
    <xf numFmtId="9" fontId="19" fillId="0" borderId="0" xfId="2978" applyFont="1" applyFill="1" applyAlignment="1">
      <alignment horizontal="center"/>
    </xf>
    <xf numFmtId="0" fontId="72" fillId="0" borderId="0" xfId="2470" applyFont="1" applyAlignment="1">
      <alignment horizontal="center"/>
    </xf>
    <xf numFmtId="0" fontId="72" fillId="33" borderId="22" xfId="2470" applyFont="1" applyFill="1" applyBorder="1" applyAlignment="1">
      <alignment horizontal="center"/>
    </xf>
    <xf numFmtId="0" fontId="73" fillId="33" borderId="22" xfId="2470" applyFont="1" applyFill="1" applyBorder="1" applyAlignment="1">
      <alignment horizontal="center"/>
    </xf>
    <xf numFmtId="164" fontId="73" fillId="33" borderId="22" xfId="2977" applyNumberFormat="1" applyFont="1" applyFill="1" applyBorder="1"/>
    <xf numFmtId="165" fontId="74" fillId="33" borderId="22" xfId="2978" applyNumberFormat="1" applyFont="1" applyFill="1" applyBorder="1" applyAlignment="1">
      <alignment horizontal="center"/>
    </xf>
    <xf numFmtId="0" fontId="75" fillId="0" borderId="24" xfId="0" applyFont="1" applyBorder="1" applyAlignment="1">
      <alignment horizontal="center"/>
    </xf>
    <xf numFmtId="0" fontId="76" fillId="0" borderId="0" xfId="2470" applyFont="1" applyAlignment="1">
      <alignment horizontal="center"/>
    </xf>
    <xf numFmtId="0" fontId="77" fillId="0" borderId="0" xfId="2470" applyFont="1" applyAlignment="1">
      <alignment horizontal="center"/>
    </xf>
    <xf numFmtId="0" fontId="76" fillId="0" borderId="22" xfId="2470" applyFont="1" applyBorder="1" applyAlignment="1">
      <alignment horizontal="center"/>
    </xf>
    <xf numFmtId="164" fontId="73" fillId="0" borderId="22" xfId="2977" applyNumberFormat="1" applyFont="1" applyBorder="1" applyAlignment="1">
      <alignment horizontal="center" vertical="center" wrapText="1"/>
    </xf>
    <xf numFmtId="164" fontId="76" fillId="0" borderId="22" xfId="2977" applyNumberFormat="1" applyFont="1" applyBorder="1" applyAlignment="1">
      <alignment horizontal="center"/>
    </xf>
    <xf numFmtId="0" fontId="22" fillId="0" borderId="0" xfId="2470" applyFont="1" applyAlignment="1">
      <alignment horizontal="center" vertical="center"/>
    </xf>
    <xf numFmtId="0" fontId="78" fillId="0" borderId="22" xfId="2470" applyFont="1" applyBorder="1" applyAlignment="1">
      <alignment horizontal="right"/>
    </xf>
    <xf numFmtId="164" fontId="72" fillId="0" borderId="22" xfId="2977" applyNumberFormat="1" applyFont="1" applyBorder="1"/>
    <xf numFmtId="165" fontId="79" fillId="0" borderId="22" xfId="2978" applyNumberFormat="1" applyFont="1" applyBorder="1" applyAlignment="1">
      <alignment horizontal="right"/>
    </xf>
    <xf numFmtId="164" fontId="73" fillId="33" borderId="22" xfId="2470" applyNumberFormat="1" applyFont="1" applyFill="1" applyBorder="1" applyAlignment="1">
      <alignment horizontal="center" vertical="center"/>
    </xf>
    <xf numFmtId="0" fontId="79" fillId="0" borderId="0" xfId="2470" applyFont="1" applyAlignment="1">
      <alignment horizontal="center"/>
    </xf>
    <xf numFmtId="164" fontId="79" fillId="0" borderId="0" xfId="2470" applyNumberFormat="1" applyFont="1" applyAlignment="1">
      <alignment horizontal="center"/>
    </xf>
    <xf numFmtId="164" fontId="79" fillId="0" borderId="0" xfId="2977" applyNumberFormat="1" applyFont="1" applyBorder="1" applyAlignment="1">
      <alignment horizontal="center"/>
    </xf>
    <xf numFmtId="0" fontId="73" fillId="33" borderId="0" xfId="2470" applyFont="1" applyFill="1" applyAlignment="1">
      <alignment horizontal="center"/>
    </xf>
    <xf numFmtId="0" fontId="76" fillId="0" borderId="0" xfId="2470" applyFont="1"/>
    <xf numFmtId="0" fontId="78" fillId="0" borderId="0" xfId="2470" applyFont="1" applyAlignment="1">
      <alignment horizontal="right"/>
    </xf>
    <xf numFmtId="164" fontId="72" fillId="0" borderId="0" xfId="2977" applyNumberFormat="1" applyFont="1"/>
    <xf numFmtId="165" fontId="79" fillId="0" borderId="0" xfId="2978" applyNumberFormat="1" applyFont="1" applyAlignment="1">
      <alignment horizontal="right"/>
    </xf>
    <xf numFmtId="0" fontId="76" fillId="0" borderId="22" xfId="2470" applyFont="1" applyBorder="1"/>
    <xf numFmtId="164" fontId="80" fillId="0" borderId="22" xfId="2977" applyNumberFormat="1" applyFont="1" applyBorder="1" applyAlignment="1">
      <alignment horizontal="center" vertical="center" wrapText="1"/>
    </xf>
    <xf numFmtId="164" fontId="76" fillId="0" borderId="22" xfId="2977" applyNumberFormat="1" applyFont="1" applyBorder="1" applyAlignment="1">
      <alignment horizontal="center" vertical="center" wrapText="1"/>
    </xf>
    <xf numFmtId="164" fontId="73" fillId="33" borderId="22" xfId="2470" applyNumberFormat="1" applyFont="1" applyFill="1" applyBorder="1"/>
    <xf numFmtId="164" fontId="76" fillId="0" borderId="0" xfId="2470" applyNumberFormat="1" applyFont="1"/>
    <xf numFmtId="0" fontId="81" fillId="0" borderId="22" xfId="2470" applyFont="1" applyBorder="1" applyAlignment="1">
      <alignment horizontal="right"/>
    </xf>
    <xf numFmtId="166" fontId="81" fillId="0" borderId="22" xfId="2470" applyNumberFormat="1" applyFont="1" applyBorder="1"/>
    <xf numFmtId="165" fontId="82" fillId="0" borderId="0" xfId="2978" applyNumberFormat="1" applyFont="1" applyAlignment="1">
      <alignment horizontal="center"/>
    </xf>
    <xf numFmtId="0" fontId="76" fillId="0" borderId="22" xfId="2470" applyFont="1" applyBorder="1" applyAlignment="1">
      <alignment horizontal="right"/>
    </xf>
    <xf numFmtId="166" fontId="76" fillId="0" borderId="22" xfId="2470" applyNumberFormat="1" applyFont="1" applyBorder="1"/>
    <xf numFmtId="43" fontId="76" fillId="0" borderId="22" xfId="2470" applyNumberFormat="1" applyFont="1" applyBorder="1"/>
    <xf numFmtId="0" fontId="83" fillId="0" borderId="0" xfId="2470" applyFont="1" applyAlignment="1">
      <alignment horizontal="center"/>
    </xf>
    <xf numFmtId="164" fontId="72" fillId="0" borderId="0" xfId="2977" applyNumberFormat="1" applyFont="1" applyBorder="1" applyAlignment="1">
      <alignment horizontal="center" vertical="center" wrapText="1"/>
    </xf>
    <xf numFmtId="164" fontId="75" fillId="0" borderId="0" xfId="2981" applyNumberFormat="1" applyFont="1"/>
    <xf numFmtId="0" fontId="73" fillId="33" borderId="22" xfId="2470" applyFont="1" applyFill="1" applyBorder="1"/>
    <xf numFmtId="164" fontId="84" fillId="0" borderId="0" xfId="2979" applyNumberFormat="1" applyFont="1" applyBorder="1" applyAlignment="1">
      <alignment horizontal="center" vertical="center" wrapText="1"/>
    </xf>
    <xf numFmtId="165" fontId="85" fillId="0" borderId="0" xfId="2980" applyNumberFormat="1" applyFont="1" applyAlignment="1">
      <alignment horizontal="right"/>
    </xf>
    <xf numFmtId="164" fontId="53" fillId="67" borderId="13" xfId="2979" applyNumberFormat="1" applyFont="1" applyFill="1" applyBorder="1" applyAlignment="1">
      <alignment vertical="center"/>
    </xf>
    <xf numFmtId="164" fontId="20" fillId="67" borderId="13" xfId="2979" applyNumberFormat="1" applyFont="1" applyFill="1" applyBorder="1" applyAlignment="1"/>
    <xf numFmtId="164" fontId="20" fillId="0" borderId="0" xfId="2470" applyNumberFormat="1" applyFont="1" applyAlignment="1">
      <alignment horizontal="center"/>
    </xf>
    <xf numFmtId="165" fontId="20" fillId="33" borderId="39" xfId="2982" quotePrefix="1" applyNumberFormat="1" applyFont="1" applyFill="1" applyBorder="1" applyAlignment="1">
      <alignment horizontal="center"/>
    </xf>
    <xf numFmtId="165" fontId="22" fillId="0" borderId="0" xfId="2982" applyNumberFormat="1" applyFont="1" applyAlignment="1">
      <alignment horizontal="center"/>
    </xf>
    <xf numFmtId="9" fontId="22" fillId="0" borderId="0" xfId="2982" applyFont="1"/>
    <xf numFmtId="0" fontId="24" fillId="78" borderId="0" xfId="0" applyFont="1" applyFill="1" applyAlignment="1">
      <alignment horizontal="left"/>
    </xf>
    <xf numFmtId="0" fontId="50" fillId="78" borderId="0" xfId="0" applyFont="1" applyFill="1"/>
    <xf numFmtId="164" fontId="22" fillId="0" borderId="24" xfId="2218" applyNumberFormat="1" applyFont="1" applyFill="1" applyBorder="1" applyAlignment="1" applyProtection="1">
      <alignment horizontal="right" wrapText="1"/>
    </xf>
    <xf numFmtId="3" fontId="22" fillId="0" borderId="0" xfId="0" applyNumberFormat="1" applyFont="1" applyAlignment="1">
      <alignment horizontal="left"/>
    </xf>
    <xf numFmtId="165" fontId="22" fillId="0" borderId="0" xfId="2982" applyNumberFormat="1" applyFont="1"/>
    <xf numFmtId="3" fontId="22" fillId="0" borderId="79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textRotation="90"/>
    </xf>
    <xf numFmtId="165" fontId="22" fillId="0" borderId="0" xfId="2982" applyNumberFormat="1" applyFont="1" applyFill="1" applyAlignment="1">
      <alignment horizontal="center"/>
    </xf>
    <xf numFmtId="0" fontId="2" fillId="0" borderId="0" xfId="2804"/>
    <xf numFmtId="0" fontId="86" fillId="0" borderId="0" xfId="0" applyFont="1" applyAlignment="1">
      <alignment vertical="center"/>
    </xf>
    <xf numFmtId="43" fontId="87" fillId="0" borderId="0" xfId="2301" applyFont="1" applyBorder="1" applyAlignment="1">
      <alignment horizontal="center"/>
    </xf>
    <xf numFmtId="0" fontId="52" fillId="0" borderId="0" xfId="2804" applyFont="1"/>
    <xf numFmtId="43" fontId="20" fillId="0" borderId="0" xfId="2301" applyFont="1" applyBorder="1" applyAlignment="1">
      <alignment horizontal="center"/>
    </xf>
    <xf numFmtId="43" fontId="20" fillId="70" borderId="12" xfId="2301" applyFont="1" applyFill="1" applyBorder="1" applyAlignment="1">
      <alignment horizontal="center"/>
    </xf>
    <xf numFmtId="43" fontId="20" fillId="70" borderId="0" xfId="2301" applyFont="1" applyFill="1" applyBorder="1" applyAlignment="1">
      <alignment horizontal="center"/>
    </xf>
    <xf numFmtId="43" fontId="20" fillId="69" borderId="12" xfId="2301" applyFont="1" applyFill="1" applyBorder="1" applyAlignment="1">
      <alignment horizontal="center"/>
    </xf>
    <xf numFmtId="0" fontId="22" fillId="0" borderId="0" xfId="2804" applyFont="1"/>
    <xf numFmtId="166" fontId="22" fillId="69" borderId="12" xfId="2301" applyNumberFormat="1" applyFont="1" applyFill="1" applyBorder="1" applyAlignment="1">
      <alignment horizontal="center"/>
    </xf>
    <xf numFmtId="43" fontId="22" fillId="69" borderId="12" xfId="2301" applyFont="1" applyFill="1" applyBorder="1" applyAlignment="1">
      <alignment horizontal="center"/>
    </xf>
    <xf numFmtId="164" fontId="22" fillId="69" borderId="12" xfId="2301" applyNumberFormat="1" applyFont="1" applyFill="1" applyBorder="1" applyAlignment="1">
      <alignment horizontal="center"/>
    </xf>
    <xf numFmtId="166" fontId="22" fillId="0" borderId="0" xfId="2301" applyNumberFormat="1" applyFont="1"/>
    <xf numFmtId="164" fontId="88" fillId="69" borderId="12" xfId="2301" applyNumberFormat="1" applyFont="1" applyFill="1" applyBorder="1" applyAlignment="1">
      <alignment horizontal="center"/>
    </xf>
    <xf numFmtId="0" fontId="22" fillId="69" borderId="12" xfId="2804" applyFont="1" applyFill="1" applyBorder="1" applyAlignment="1">
      <alignment horizontal="center"/>
    </xf>
    <xf numFmtId="43" fontId="22" fillId="69" borderId="10" xfId="1" applyFont="1" applyFill="1" applyBorder="1" applyAlignment="1">
      <alignment horizontal="center"/>
    </xf>
    <xf numFmtId="43" fontId="22" fillId="69" borderId="13" xfId="1" applyFont="1" applyFill="1" applyBorder="1" applyAlignment="1">
      <alignment horizontal="center"/>
    </xf>
    <xf numFmtId="166" fontId="22" fillId="69" borderId="0" xfId="2301" applyNumberFormat="1" applyFont="1" applyFill="1" applyBorder="1" applyAlignment="1">
      <alignment horizontal="center"/>
    </xf>
    <xf numFmtId="164" fontId="65" fillId="0" borderId="0" xfId="2804" applyNumberFormat="1" applyFont="1"/>
    <xf numFmtId="0" fontId="89" fillId="0" borderId="0" xfId="2804" applyFont="1"/>
    <xf numFmtId="9" fontId="19" fillId="0" borderId="0" xfId="2982" applyFont="1"/>
    <xf numFmtId="166" fontId="20" fillId="0" borderId="0" xfId="2301" applyNumberFormat="1" applyFont="1" applyFill="1" applyBorder="1" applyAlignment="1">
      <alignment horizontal="center"/>
    </xf>
    <xf numFmtId="164" fontId="65" fillId="0" borderId="0" xfId="2301" applyNumberFormat="1" applyFont="1" applyBorder="1" applyAlignment="1"/>
    <xf numFmtId="164" fontId="20" fillId="0" borderId="0" xfId="2301" applyNumberFormat="1" applyFont="1" applyBorder="1" applyAlignment="1">
      <alignment horizontal="center"/>
    </xf>
    <xf numFmtId="164" fontId="44" fillId="0" borderId="0" xfId="2804" applyNumberFormat="1" applyFont="1"/>
    <xf numFmtId="166" fontId="22" fillId="68" borderId="12" xfId="2301" applyNumberFormat="1" applyFont="1" applyFill="1" applyBorder="1" applyAlignment="1">
      <alignment horizontal="center"/>
    </xf>
    <xf numFmtId="164" fontId="22" fillId="68" borderId="12" xfId="2301" applyNumberFormat="1" applyFont="1" applyFill="1" applyBorder="1" applyAlignment="1">
      <alignment horizontal="center"/>
    </xf>
    <xf numFmtId="43" fontId="20" fillId="68" borderId="12" xfId="2301" applyFont="1" applyFill="1" applyBorder="1" applyAlignment="1">
      <alignment horizontal="center"/>
    </xf>
    <xf numFmtId="164" fontId="88" fillId="68" borderId="12" xfId="2301" applyNumberFormat="1" applyFont="1" applyFill="1" applyBorder="1" applyAlignment="1">
      <alignment horizontal="center"/>
    </xf>
    <xf numFmtId="43" fontId="22" fillId="68" borderId="12" xfId="2301" applyFont="1" applyFill="1" applyBorder="1" applyAlignment="1">
      <alignment horizontal="center"/>
    </xf>
    <xf numFmtId="166" fontId="22" fillId="64" borderId="12" xfId="2301" applyNumberFormat="1" applyFont="1" applyFill="1" applyBorder="1" applyAlignment="1">
      <alignment horizontal="center"/>
    </xf>
    <xf numFmtId="43" fontId="22" fillId="64" borderId="12" xfId="2301" applyFont="1" applyFill="1" applyBorder="1" applyAlignment="1">
      <alignment horizontal="center"/>
    </xf>
    <xf numFmtId="164" fontId="22" fillId="64" borderId="12" xfId="2301" applyNumberFormat="1" applyFont="1" applyFill="1" applyBorder="1" applyAlignment="1">
      <alignment horizontal="center"/>
    </xf>
    <xf numFmtId="43" fontId="20" fillId="64" borderId="0" xfId="2301" applyFont="1" applyFill="1" applyBorder="1" applyAlignment="1">
      <alignment horizontal="center"/>
    </xf>
    <xf numFmtId="43" fontId="20" fillId="64" borderId="12" xfId="2301" applyFont="1" applyFill="1" applyBorder="1" applyAlignment="1">
      <alignment horizontal="center"/>
    </xf>
    <xf numFmtId="164" fontId="88" fillId="64" borderId="12" xfId="2301" applyNumberFormat="1" applyFont="1" applyFill="1" applyBorder="1" applyAlignment="1">
      <alignment horizontal="center"/>
    </xf>
    <xf numFmtId="43" fontId="43" fillId="0" borderId="0" xfId="2301" applyFont="1" applyFill="1" applyBorder="1" applyAlignment="1"/>
    <xf numFmtId="164" fontId="2" fillId="0" borderId="0" xfId="2804" applyNumberFormat="1"/>
    <xf numFmtId="0" fontId="20" fillId="0" borderId="0" xfId="2804" applyFont="1"/>
    <xf numFmtId="164" fontId="67" fillId="0" borderId="0" xfId="1" applyNumberFormat="1" applyFont="1"/>
    <xf numFmtId="164" fontId="22" fillId="0" borderId="0" xfId="1" applyNumberFormat="1" applyFont="1"/>
    <xf numFmtId="164" fontId="22" fillId="0" borderId="0" xfId="2982" applyNumberFormat="1" applyFont="1"/>
    <xf numFmtId="0" fontId="84" fillId="0" borderId="0" xfId="0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9" fontId="84" fillId="0" borderId="0" xfId="2982" applyFont="1" applyAlignment="1">
      <alignment horizontal="center" vertical="center"/>
    </xf>
    <xf numFmtId="43" fontId="20" fillId="0" borderId="0" xfId="2804" applyNumberFormat="1" applyFont="1" applyAlignment="1">
      <alignment horizontal="center"/>
    </xf>
    <xf numFmtId="0" fontId="67" fillId="0" borderId="0" xfId="2804" applyFont="1" applyAlignment="1">
      <alignment horizontal="center"/>
    </xf>
    <xf numFmtId="166" fontId="22" fillId="0" borderId="0" xfId="2804" applyNumberFormat="1" applyFont="1" applyAlignment="1">
      <alignment horizontal="center"/>
    </xf>
    <xf numFmtId="43" fontId="45" fillId="0" borderId="0" xfId="1" applyFont="1" applyFill="1" applyBorder="1" applyAlignment="1">
      <alignment horizontal="center"/>
    </xf>
    <xf numFmtId="0" fontId="90" fillId="33" borderId="10" xfId="2470" applyFont="1" applyFill="1" applyBorder="1" applyAlignment="1">
      <alignment wrapText="1"/>
    </xf>
    <xf numFmtId="0" fontId="43" fillId="33" borderId="0" xfId="2470" applyFont="1" applyFill="1" applyAlignment="1">
      <alignment horizontal="center"/>
    </xf>
    <xf numFmtId="2" fontId="0" fillId="0" borderId="0" xfId="0" applyNumberFormat="1"/>
    <xf numFmtId="0" fontId="91" fillId="0" borderId="0" xfId="0" applyFont="1"/>
    <xf numFmtId="3" fontId="19" fillId="0" borderId="0" xfId="0" applyNumberFormat="1" applyFont="1" applyAlignment="1">
      <alignment horizontal="center"/>
    </xf>
    <xf numFmtId="0" fontId="43" fillId="33" borderId="0" xfId="2470" applyFont="1" applyFill="1" applyAlignment="1">
      <alignment horizontal="center" wrapText="1"/>
    </xf>
    <xf numFmtId="0" fontId="43" fillId="33" borderId="50" xfId="0" applyFont="1" applyFill="1" applyBorder="1" applyAlignment="1">
      <alignment horizontal="center" wrapText="1"/>
    </xf>
    <xf numFmtId="0" fontId="22" fillId="60" borderId="0" xfId="2470" applyFont="1" applyFill="1"/>
    <xf numFmtId="0" fontId="19" fillId="79" borderId="0" xfId="0" applyFont="1" applyFill="1"/>
    <xf numFmtId="0" fontId="19" fillId="79" borderId="23" xfId="0" applyFont="1" applyFill="1" applyBorder="1"/>
    <xf numFmtId="0" fontId="19" fillId="79" borderId="0" xfId="0" applyFont="1" applyFill="1" applyAlignment="1">
      <alignment horizontal="center"/>
    </xf>
    <xf numFmtId="0" fontId="19" fillId="79" borderId="10" xfId="0" applyFont="1" applyFill="1" applyBorder="1"/>
    <xf numFmtId="0" fontId="52" fillId="79" borderId="0" xfId="0" applyFont="1" applyFill="1"/>
    <xf numFmtId="0" fontId="19" fillId="60" borderId="0" xfId="2470" applyFill="1" applyAlignment="1">
      <alignment horizontal="left"/>
    </xf>
    <xf numFmtId="0" fontId="22" fillId="60" borderId="0" xfId="0" applyFont="1" applyFill="1"/>
    <xf numFmtId="0" fontId="0" fillId="60" borderId="0" xfId="0" applyFill="1"/>
    <xf numFmtId="43" fontId="2" fillId="0" borderId="0" xfId="2804" applyNumberFormat="1"/>
    <xf numFmtId="164" fontId="22" fillId="0" borderId="0" xfId="2804" applyNumberFormat="1" applyFont="1" applyAlignment="1">
      <alignment horizontal="center"/>
    </xf>
    <xf numFmtId="0" fontId="92" fillId="0" borderId="0" xfId="0" applyFont="1"/>
    <xf numFmtId="0" fontId="45" fillId="0" borderId="0" xfId="2470" applyFont="1"/>
    <xf numFmtId="0" fontId="93" fillId="0" borderId="0" xfId="0" applyFont="1"/>
    <xf numFmtId="1" fontId="94" fillId="0" borderId="0" xfId="0" applyNumberFormat="1" applyFont="1"/>
    <xf numFmtId="0" fontId="19" fillId="0" borderId="0" xfId="0" applyFont="1" applyAlignment="1">
      <alignment horizontal="center" vertical="center"/>
    </xf>
    <xf numFmtId="1" fontId="2" fillId="0" borderId="0" xfId="2804" applyNumberFormat="1"/>
    <xf numFmtId="164" fontId="20" fillId="0" borderId="26" xfId="2470" applyNumberFormat="1" applyFont="1" applyBorder="1"/>
    <xf numFmtId="0" fontId="95" fillId="0" borderId="0" xfId="2986" applyFont="1" applyAlignment="1">
      <alignment vertical="center"/>
    </xf>
    <xf numFmtId="0" fontId="22" fillId="60" borderId="28" xfId="0" applyFont="1" applyFill="1" applyBorder="1" applyAlignment="1">
      <alignment horizontal="center"/>
    </xf>
    <xf numFmtId="0" fontId="55" fillId="0" borderId="0" xfId="0" applyFont="1" applyAlignment="1">
      <alignment horizontal="center" wrapText="1"/>
    </xf>
    <xf numFmtId="3" fontId="20" fillId="33" borderId="0" xfId="2506" quotePrefix="1" applyNumberFormat="1" applyFont="1" applyFill="1" applyAlignment="1">
      <alignment horizontal="center" wrapText="1"/>
    </xf>
    <xf numFmtId="2" fontId="20" fillId="33" borderId="0" xfId="0" applyNumberFormat="1" applyFont="1" applyFill="1" applyAlignment="1">
      <alignment horizontal="center" vertical="center" wrapText="1"/>
    </xf>
    <xf numFmtId="164" fontId="22" fillId="0" borderId="0" xfId="2979" applyNumberFormat="1" applyFont="1" applyFill="1" applyBorder="1" applyAlignment="1"/>
    <xf numFmtId="2" fontId="20" fillId="33" borderId="84" xfId="0" applyNumberFormat="1" applyFont="1" applyFill="1" applyBorder="1" applyAlignment="1">
      <alignment horizontal="center" vertical="center" wrapText="1"/>
    </xf>
    <xf numFmtId="164" fontId="22" fillId="0" borderId="85" xfId="2979" applyNumberFormat="1" applyFont="1" applyFill="1" applyBorder="1" applyAlignment="1"/>
    <xf numFmtId="2" fontId="20" fillId="33" borderId="49" xfId="0" applyNumberFormat="1" applyFont="1" applyFill="1" applyBorder="1" applyAlignment="1">
      <alignment horizontal="center" vertical="center" wrapText="1"/>
    </xf>
    <xf numFmtId="164" fontId="22" fillId="0" borderId="86" xfId="2979" applyNumberFormat="1" applyFont="1" applyFill="1" applyBorder="1" applyAlignment="1"/>
    <xf numFmtId="3" fontId="20" fillId="33" borderId="88" xfId="2506" quotePrefix="1" applyNumberFormat="1" applyFont="1" applyFill="1" applyBorder="1" applyAlignment="1">
      <alignment horizontal="center" wrapText="1"/>
    </xf>
    <xf numFmtId="0" fontId="22" fillId="33" borderId="28" xfId="0" applyFont="1" applyFill="1" applyBorder="1" applyAlignment="1">
      <alignment horizontal="left"/>
    </xf>
    <xf numFmtId="164" fontId="22" fillId="0" borderId="28" xfId="1" applyNumberFormat="1" applyFont="1" applyFill="1" applyBorder="1" applyAlignment="1">
      <alignment horizontal="center"/>
    </xf>
    <xf numFmtId="164" fontId="22" fillId="0" borderId="30" xfId="1" applyNumberFormat="1" applyFont="1" applyFill="1" applyBorder="1" applyAlignment="1">
      <alignment horizontal="center"/>
    </xf>
    <xf numFmtId="164" fontId="20" fillId="0" borderId="28" xfId="1" applyNumberFormat="1" applyFont="1" applyFill="1" applyBorder="1" applyAlignment="1">
      <alignment horizontal="center"/>
    </xf>
    <xf numFmtId="164" fontId="22" fillId="0" borderId="32" xfId="1" applyNumberFormat="1" applyFont="1" applyFill="1" applyBorder="1" applyAlignment="1">
      <alignment horizontal="center"/>
    </xf>
    <xf numFmtId="0" fontId="0" fillId="0" borderId="87" xfId="0" applyBorder="1"/>
    <xf numFmtId="0" fontId="90" fillId="0" borderId="0" xfId="0" applyFont="1" applyAlignment="1">
      <alignment wrapText="1"/>
    </xf>
    <xf numFmtId="164" fontId="22" fillId="35" borderId="0" xfId="1" applyNumberFormat="1" applyFont="1" applyFill="1" applyBorder="1" applyAlignment="1">
      <alignment horizontal="center"/>
    </xf>
    <xf numFmtId="0" fontId="43" fillId="33" borderId="83" xfId="2470" applyFont="1" applyFill="1" applyBorder="1" applyAlignment="1">
      <alignment horizontal="center" wrapText="1"/>
    </xf>
    <xf numFmtId="0" fontId="71" fillId="63" borderId="0" xfId="2470" applyFont="1" applyFill="1" applyAlignment="1">
      <alignment horizontal="left"/>
    </xf>
    <xf numFmtId="0" fontId="55" fillId="0" borderId="43" xfId="2470" applyFont="1" applyBorder="1" applyAlignment="1">
      <alignment horizontal="left" vertical="center" wrapText="1"/>
    </xf>
    <xf numFmtId="0" fontId="55" fillId="0" borderId="44" xfId="2470" applyFont="1" applyBorder="1" applyAlignment="1">
      <alignment horizontal="left" vertical="center" wrapText="1"/>
    </xf>
    <xf numFmtId="0" fontId="71" fillId="58" borderId="0" xfId="2470" applyFont="1" applyFill="1" applyAlignment="1">
      <alignment horizontal="left"/>
    </xf>
    <xf numFmtId="0" fontId="71" fillId="0" borderId="0" xfId="2470" applyFont="1" applyAlignment="1">
      <alignment horizontal="left"/>
    </xf>
    <xf numFmtId="0" fontId="44" fillId="67" borderId="55" xfId="0" applyFont="1" applyFill="1" applyBorder="1" applyAlignment="1">
      <alignment horizontal="center"/>
    </xf>
    <xf numFmtId="0" fontId="44" fillId="67" borderId="56" xfId="0" applyFont="1" applyFill="1" applyBorder="1" applyAlignment="1">
      <alignment horizontal="center"/>
    </xf>
    <xf numFmtId="0" fontId="44" fillId="67" borderId="57" xfId="0" applyFont="1" applyFill="1" applyBorder="1" applyAlignment="1">
      <alignment horizontal="center"/>
    </xf>
    <xf numFmtId="0" fontId="45" fillId="67" borderId="0" xfId="0" applyFont="1" applyFill="1" applyAlignment="1">
      <alignment horizontal="right"/>
    </xf>
    <xf numFmtId="0" fontId="45" fillId="58" borderId="0" xfId="0" applyFont="1" applyFill="1" applyAlignment="1">
      <alignment horizontal="right"/>
    </xf>
    <xf numFmtId="0" fontId="45" fillId="59" borderId="0" xfId="2470" applyFont="1" applyFill="1" applyAlignment="1">
      <alignment horizontal="right"/>
    </xf>
    <xf numFmtId="0" fontId="44" fillId="66" borderId="55" xfId="2470" applyFont="1" applyFill="1" applyBorder="1" applyAlignment="1">
      <alignment horizontal="center"/>
    </xf>
    <xf numFmtId="0" fontId="44" fillId="66" borderId="56" xfId="2470" applyFont="1" applyFill="1" applyBorder="1" applyAlignment="1">
      <alignment horizontal="center"/>
    </xf>
    <xf numFmtId="0" fontId="44" fillId="66" borderId="57" xfId="2470" applyFont="1" applyFill="1" applyBorder="1" applyAlignment="1">
      <alignment horizontal="center"/>
    </xf>
    <xf numFmtId="0" fontId="45" fillId="66" borderId="0" xfId="2470" applyFont="1" applyFill="1" applyAlignment="1">
      <alignment horizontal="right"/>
    </xf>
    <xf numFmtId="0" fontId="44" fillId="58" borderId="55" xfId="0" applyFont="1" applyFill="1" applyBorder="1" applyAlignment="1">
      <alignment horizontal="center"/>
    </xf>
    <xf numFmtId="0" fontId="44" fillId="58" borderId="56" xfId="0" applyFont="1" applyFill="1" applyBorder="1" applyAlignment="1">
      <alignment horizontal="center"/>
    </xf>
    <xf numFmtId="0" fontId="44" fillId="58" borderId="57" xfId="0" applyFont="1" applyFill="1" applyBorder="1" applyAlignment="1">
      <alignment horizontal="center"/>
    </xf>
    <xf numFmtId="0" fontId="45" fillId="65" borderId="0" xfId="2470" applyFont="1" applyFill="1" applyAlignment="1">
      <alignment horizontal="right"/>
    </xf>
    <xf numFmtId="0" fontId="44" fillId="58" borderId="55" xfId="2470" applyFont="1" applyFill="1" applyBorder="1" applyAlignment="1">
      <alignment horizontal="center"/>
    </xf>
    <xf numFmtId="0" fontId="44" fillId="58" borderId="56" xfId="2470" applyFont="1" applyFill="1" applyBorder="1" applyAlignment="1">
      <alignment horizontal="center"/>
    </xf>
    <xf numFmtId="0" fontId="44" fillId="58" borderId="57" xfId="2470" applyFont="1" applyFill="1" applyBorder="1" applyAlignment="1">
      <alignment horizontal="center"/>
    </xf>
    <xf numFmtId="0" fontId="45" fillId="58" borderId="0" xfId="2470" applyFont="1" applyFill="1" applyAlignment="1">
      <alignment horizontal="right"/>
    </xf>
    <xf numFmtId="0" fontId="44" fillId="59" borderId="55" xfId="2470" applyFont="1" applyFill="1" applyBorder="1" applyAlignment="1">
      <alignment horizontal="center"/>
    </xf>
    <xf numFmtId="0" fontId="44" fillId="59" borderId="56" xfId="2470" applyFont="1" applyFill="1" applyBorder="1" applyAlignment="1">
      <alignment horizontal="center"/>
    </xf>
    <xf numFmtId="0" fontId="44" fillId="59" borderId="57" xfId="2470" applyFont="1" applyFill="1" applyBorder="1" applyAlignment="1">
      <alignment horizontal="center"/>
    </xf>
    <xf numFmtId="0" fontId="45" fillId="0" borderId="0" xfId="2470" applyFont="1" applyAlignment="1">
      <alignment horizontal="right"/>
    </xf>
    <xf numFmtId="0" fontId="44" fillId="65" borderId="55" xfId="2470" applyFont="1" applyFill="1" applyBorder="1" applyAlignment="1">
      <alignment horizontal="center"/>
    </xf>
    <xf numFmtId="0" fontId="44" fillId="65" borderId="56" xfId="2470" applyFont="1" applyFill="1" applyBorder="1" applyAlignment="1">
      <alignment horizontal="center"/>
    </xf>
    <xf numFmtId="0" fontId="44" fillId="65" borderId="57" xfId="2470" applyFont="1" applyFill="1" applyBorder="1" applyAlignment="1">
      <alignment horizontal="center"/>
    </xf>
    <xf numFmtId="0" fontId="44" fillId="0" borderId="55" xfId="2470" applyFont="1" applyBorder="1" applyAlignment="1">
      <alignment horizontal="center"/>
    </xf>
    <xf numFmtId="0" fontId="44" fillId="0" borderId="56" xfId="2470" applyFont="1" applyBorder="1" applyAlignment="1">
      <alignment horizontal="center"/>
    </xf>
    <xf numFmtId="0" fontId="44" fillId="0" borderId="57" xfId="2470" applyFont="1" applyBorder="1" applyAlignment="1">
      <alignment horizontal="center"/>
    </xf>
    <xf numFmtId="0" fontId="44" fillId="64" borderId="55" xfId="2470" applyFont="1" applyFill="1" applyBorder="1" applyAlignment="1">
      <alignment horizontal="center"/>
    </xf>
    <xf numFmtId="0" fontId="44" fillId="64" borderId="56" xfId="2470" applyFont="1" applyFill="1" applyBorder="1" applyAlignment="1">
      <alignment horizontal="center"/>
    </xf>
    <xf numFmtId="0" fontId="44" fillId="64" borderId="57" xfId="2470" applyFont="1" applyFill="1" applyBorder="1" applyAlignment="1">
      <alignment horizontal="center"/>
    </xf>
    <xf numFmtId="0" fontId="45" fillId="64" borderId="0" xfId="2470" applyFont="1" applyFill="1" applyAlignment="1">
      <alignment horizontal="right"/>
    </xf>
    <xf numFmtId="0" fontId="22" fillId="0" borderId="47" xfId="2470" applyFont="1" applyBorder="1" applyAlignment="1">
      <alignment horizontal="center" wrapText="1"/>
    </xf>
    <xf numFmtId="0" fontId="22" fillId="0" borderId="0" xfId="2470" applyFont="1" applyAlignment="1">
      <alignment horizontal="center" wrapText="1"/>
    </xf>
    <xf numFmtId="0" fontId="43" fillId="33" borderId="13" xfId="2470" applyFont="1" applyFill="1" applyBorder="1" applyAlignment="1">
      <alignment horizontal="center" wrapText="1"/>
    </xf>
    <xf numFmtId="0" fontId="43" fillId="33" borderId="10" xfId="2470" applyFont="1" applyFill="1" applyBorder="1" applyAlignment="1">
      <alignment horizontal="center" wrapText="1"/>
    </xf>
    <xf numFmtId="0" fontId="43" fillId="33" borderId="46" xfId="2470" applyFont="1" applyFill="1" applyBorder="1" applyAlignment="1">
      <alignment horizontal="center" wrapText="1"/>
    </xf>
    <xf numFmtId="0" fontId="43" fillId="33" borderId="45" xfId="2470" applyFont="1" applyFill="1" applyBorder="1" applyAlignment="1">
      <alignment horizontal="center" wrapText="1"/>
    </xf>
    <xf numFmtId="2" fontId="20" fillId="33" borderId="48" xfId="2470" applyNumberFormat="1" applyFont="1" applyFill="1" applyBorder="1" applyAlignment="1">
      <alignment horizontal="center" vertical="center" wrapText="1"/>
    </xf>
    <xf numFmtId="2" fontId="20" fillId="33" borderId="23" xfId="2470" applyNumberFormat="1" applyFont="1" applyFill="1" applyBorder="1" applyAlignment="1">
      <alignment horizontal="center" vertical="center" wrapText="1"/>
    </xf>
    <xf numFmtId="2" fontId="20" fillId="33" borderId="49" xfId="2470" applyNumberFormat="1" applyFont="1" applyFill="1" applyBorder="1" applyAlignment="1">
      <alignment horizontal="center" vertical="center" wrapText="1"/>
    </xf>
    <xf numFmtId="2" fontId="20" fillId="33" borderId="50" xfId="2470" applyNumberFormat="1" applyFont="1" applyFill="1" applyBorder="1" applyAlignment="1">
      <alignment horizontal="center" vertical="center" wrapText="1"/>
    </xf>
    <xf numFmtId="2" fontId="20" fillId="33" borderId="51" xfId="2470" applyNumberFormat="1" applyFont="1" applyFill="1" applyBorder="1" applyAlignment="1">
      <alignment horizontal="center" vertical="center" wrapText="1"/>
    </xf>
    <xf numFmtId="2" fontId="20" fillId="33" borderId="52" xfId="2470" applyNumberFormat="1" applyFont="1" applyFill="1" applyBorder="1" applyAlignment="1">
      <alignment horizontal="center" vertical="center" wrapText="1"/>
    </xf>
    <xf numFmtId="0" fontId="55" fillId="0" borderId="43" xfId="2470" applyFont="1" applyBorder="1" applyAlignment="1">
      <alignment horizontal="left"/>
    </xf>
    <xf numFmtId="0" fontId="55" fillId="0" borderId="44" xfId="2470" applyFont="1" applyBorder="1" applyAlignment="1">
      <alignment horizontal="left"/>
    </xf>
    <xf numFmtId="0" fontId="20" fillId="0" borderId="0" xfId="2470" applyFont="1" applyAlignment="1">
      <alignment horizontal="center"/>
    </xf>
    <xf numFmtId="0" fontId="45" fillId="63" borderId="0" xfId="2470" applyFont="1" applyFill="1" applyAlignment="1">
      <alignment horizontal="right"/>
    </xf>
    <xf numFmtId="0" fontId="44" fillId="63" borderId="55" xfId="2470" applyFont="1" applyFill="1" applyBorder="1" applyAlignment="1">
      <alignment horizontal="center"/>
    </xf>
    <xf numFmtId="0" fontId="44" fillId="63" borderId="56" xfId="2470" applyFont="1" applyFill="1" applyBorder="1" applyAlignment="1">
      <alignment horizontal="center"/>
    </xf>
    <xf numFmtId="0" fontId="44" fillId="63" borderId="57" xfId="2470" applyFont="1" applyFill="1" applyBorder="1" applyAlignment="1">
      <alignment horizontal="center"/>
    </xf>
    <xf numFmtId="0" fontId="43" fillId="33" borderId="0" xfId="2470" applyFont="1" applyFill="1" applyAlignment="1">
      <alignment horizontal="center"/>
    </xf>
    <xf numFmtId="0" fontId="43" fillId="33" borderId="13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43" fillId="33" borderId="60" xfId="2470" applyFont="1" applyFill="1" applyBorder="1" applyAlignment="1">
      <alignment horizontal="center" wrapText="1"/>
    </xf>
    <xf numFmtId="0" fontId="43" fillId="33" borderId="61" xfId="2470" applyFont="1" applyFill="1" applyBorder="1" applyAlignment="1">
      <alignment horizontal="center"/>
    </xf>
    <xf numFmtId="0" fontId="43" fillId="33" borderId="61" xfId="2470" applyFont="1" applyFill="1" applyBorder="1" applyAlignment="1">
      <alignment horizontal="center" wrapText="1"/>
    </xf>
    <xf numFmtId="0" fontId="20" fillId="59" borderId="0" xfId="0" applyFont="1" applyFill="1" applyAlignment="1">
      <alignment horizontal="center"/>
    </xf>
    <xf numFmtId="0" fontId="44" fillId="59" borderId="55" xfId="0" applyFont="1" applyFill="1" applyBorder="1" applyAlignment="1">
      <alignment horizontal="center"/>
    </xf>
    <xf numFmtId="0" fontId="44" fillId="59" borderId="56" xfId="0" applyFont="1" applyFill="1" applyBorder="1" applyAlignment="1">
      <alignment horizontal="center"/>
    </xf>
    <xf numFmtId="0" fontId="44" fillId="59" borderId="57" xfId="0" applyFont="1" applyFill="1" applyBorder="1" applyAlignment="1">
      <alignment horizontal="center"/>
    </xf>
    <xf numFmtId="0" fontId="45" fillId="59" borderId="0" xfId="0" applyFont="1" applyFill="1" applyAlignment="1">
      <alignment horizontal="right"/>
    </xf>
    <xf numFmtId="0" fontId="45" fillId="63" borderId="0" xfId="0" applyFont="1" applyFill="1" applyAlignment="1">
      <alignment horizontal="right"/>
    </xf>
    <xf numFmtId="0" fontId="20" fillId="65" borderId="0" xfId="0" applyFont="1" applyFill="1" applyAlignment="1">
      <alignment horizontal="center"/>
    </xf>
    <xf numFmtId="0" fontId="44" fillId="65" borderId="55" xfId="0" applyFont="1" applyFill="1" applyBorder="1" applyAlignment="1">
      <alignment horizontal="center"/>
    </xf>
    <xf numFmtId="0" fontId="44" fillId="65" borderId="56" xfId="0" applyFont="1" applyFill="1" applyBorder="1" applyAlignment="1">
      <alignment horizontal="center"/>
    </xf>
    <xf numFmtId="0" fontId="44" fillId="65" borderId="57" xfId="0" applyFont="1" applyFill="1" applyBorder="1" applyAlignment="1">
      <alignment horizontal="center"/>
    </xf>
    <xf numFmtId="0" fontId="45" fillId="65" borderId="0" xfId="0" applyFont="1" applyFill="1" applyAlignment="1">
      <alignment horizontal="right"/>
    </xf>
    <xf numFmtId="0" fontId="20" fillId="58" borderId="0" xfId="0" applyFont="1" applyFill="1" applyAlignment="1">
      <alignment horizontal="center"/>
    </xf>
    <xf numFmtId="0" fontId="45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44" fillId="0" borderId="55" xfId="0" applyFont="1" applyBorder="1" applyAlignment="1">
      <alignment horizontal="center"/>
    </xf>
    <xf numFmtId="0" fontId="44" fillId="0" borderId="56" xfId="0" applyFont="1" applyBorder="1" applyAlignment="1">
      <alignment horizontal="center"/>
    </xf>
    <xf numFmtId="0" fontId="44" fillId="0" borderId="57" xfId="0" applyFont="1" applyBorder="1" applyAlignment="1">
      <alignment horizontal="center"/>
    </xf>
    <xf numFmtId="0" fontId="20" fillId="63" borderId="0" xfId="0" applyFont="1" applyFill="1" applyAlignment="1">
      <alignment horizontal="center"/>
    </xf>
    <xf numFmtId="0" fontId="44" fillId="63" borderId="55" xfId="0" applyFont="1" applyFill="1" applyBorder="1" applyAlignment="1">
      <alignment horizontal="center"/>
    </xf>
    <xf numFmtId="0" fontId="44" fillId="63" borderId="56" xfId="0" applyFont="1" applyFill="1" applyBorder="1" applyAlignment="1">
      <alignment horizontal="center"/>
    </xf>
    <xf numFmtId="0" fontId="44" fillId="63" borderId="57" xfId="0" applyFont="1" applyFill="1" applyBorder="1" applyAlignment="1">
      <alignment horizontal="center"/>
    </xf>
    <xf numFmtId="0" fontId="55" fillId="0" borderId="0" xfId="0" applyFont="1" applyAlignment="1">
      <alignment horizontal="left"/>
    </xf>
    <xf numFmtId="0" fontId="55" fillId="0" borderId="49" xfId="0" applyFont="1" applyBorder="1" applyAlignment="1">
      <alignment horizontal="left"/>
    </xf>
    <xf numFmtId="0" fontId="43" fillId="33" borderId="60" xfId="0" applyFont="1" applyFill="1" applyBorder="1" applyAlignment="1">
      <alignment horizontal="center" wrapText="1"/>
    </xf>
    <xf numFmtId="0" fontId="0" fillId="0" borderId="61" xfId="0" applyBorder="1" applyAlignment="1">
      <alignment horizontal="center"/>
    </xf>
    <xf numFmtId="0" fontId="43" fillId="33" borderId="61" xfId="0" applyFont="1" applyFill="1" applyBorder="1" applyAlignment="1">
      <alignment horizontal="center" wrapText="1"/>
    </xf>
    <xf numFmtId="0" fontId="20" fillId="33" borderId="80" xfId="0" applyFont="1" applyFill="1" applyBorder="1" applyAlignment="1">
      <alignment horizontal="center" vertical="center" wrapText="1"/>
    </xf>
    <xf numFmtId="0" fontId="20" fillId="33" borderId="82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left"/>
    </xf>
    <xf numFmtId="0" fontId="20" fillId="69" borderId="45" xfId="2985" applyFont="1" applyFill="1" applyBorder="1" applyAlignment="1">
      <alignment horizontal="center" vertical="center"/>
    </xf>
    <xf numFmtId="0" fontId="20" fillId="69" borderId="65" xfId="2985" applyFont="1" applyFill="1" applyBorder="1" applyAlignment="1">
      <alignment horizontal="center" vertical="center"/>
    </xf>
    <xf numFmtId="0" fontId="20" fillId="34" borderId="0" xfId="2985" applyFont="1" applyFill="1" applyAlignment="1">
      <alignment horizontal="center" vertical="center"/>
    </xf>
    <xf numFmtId="3" fontId="20" fillId="33" borderId="74" xfId="0" quotePrefix="1" applyNumberFormat="1" applyFont="1" applyFill="1" applyBorder="1" applyAlignment="1">
      <alignment horizontal="center" vertical="center"/>
    </xf>
    <xf numFmtId="3" fontId="20" fillId="33" borderId="0" xfId="0" quotePrefix="1" applyNumberFormat="1" applyFont="1" applyFill="1" applyAlignment="1">
      <alignment horizontal="center" vertical="center"/>
    </xf>
    <xf numFmtId="166" fontId="20" fillId="33" borderId="0" xfId="0" applyNumberFormat="1" applyFont="1" applyFill="1" applyAlignment="1">
      <alignment horizontal="center"/>
    </xf>
    <xf numFmtId="0" fontId="0" fillId="0" borderId="47" xfId="0" applyBorder="1" applyAlignment="1">
      <alignment horizontal="center"/>
    </xf>
    <xf numFmtId="3" fontId="20" fillId="33" borderId="75" xfId="0" quotePrefix="1" applyNumberFormat="1" applyFont="1" applyFill="1" applyBorder="1" applyAlignment="1">
      <alignment horizontal="center" vertical="center"/>
    </xf>
    <xf numFmtId="3" fontId="20" fillId="33" borderId="76" xfId="0" quotePrefix="1" applyNumberFormat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0" fillId="72" borderId="66" xfId="0" applyFont="1" applyFill="1" applyBorder="1" applyAlignment="1">
      <alignment horizontal="center" vertical="center"/>
    </xf>
    <xf numFmtId="0" fontId="20" fillId="72" borderId="67" xfId="0" applyFont="1" applyFill="1" applyBorder="1" applyAlignment="1">
      <alignment horizontal="center" vertical="center"/>
    </xf>
    <xf numFmtId="0" fontId="20" fillId="72" borderId="68" xfId="0" applyFont="1" applyFill="1" applyBorder="1" applyAlignment="1">
      <alignment horizontal="center" vertical="center"/>
    </xf>
    <xf numFmtId="0" fontId="20" fillId="72" borderId="69" xfId="0" applyFont="1" applyFill="1" applyBorder="1" applyAlignment="1">
      <alignment horizontal="center" vertical="center"/>
    </xf>
    <xf numFmtId="0" fontId="20" fillId="72" borderId="70" xfId="0" applyFont="1" applyFill="1" applyBorder="1" applyAlignment="1">
      <alignment horizontal="center" vertical="center"/>
    </xf>
    <xf numFmtId="0" fontId="20" fillId="72" borderId="71" xfId="0" applyFont="1" applyFill="1" applyBorder="1" applyAlignment="1">
      <alignment horizontal="center" vertical="center"/>
    </xf>
    <xf numFmtId="166" fontId="22" fillId="0" borderId="10" xfId="2985" applyNumberFormat="1" applyBorder="1" applyAlignment="1">
      <alignment horizontal="center" vertical="center"/>
    </xf>
    <xf numFmtId="0" fontId="20" fillId="33" borderId="0" xfId="0" applyFont="1" applyFill="1" applyAlignment="1">
      <alignment horizontal="center"/>
    </xf>
    <xf numFmtId="43" fontId="20" fillId="64" borderId="12" xfId="2301" applyFont="1" applyFill="1" applyBorder="1" applyAlignment="1">
      <alignment horizontal="center"/>
    </xf>
    <xf numFmtId="43" fontId="65" fillId="64" borderId="12" xfId="2301" applyFont="1" applyFill="1" applyBorder="1" applyAlignment="1">
      <alignment horizontal="center" vertical="center"/>
    </xf>
    <xf numFmtId="0" fontId="20" fillId="0" borderId="43" xfId="2804" applyFont="1" applyBorder="1" applyAlignment="1">
      <alignment horizontal="center"/>
    </xf>
    <xf numFmtId="43" fontId="43" fillId="0" borderId="0" xfId="2301" applyFont="1" applyFill="1" applyBorder="1" applyAlignment="1">
      <alignment horizontal="center"/>
    </xf>
    <xf numFmtId="43" fontId="44" fillId="0" borderId="0" xfId="2301" applyFont="1" applyBorder="1" applyAlignment="1">
      <alignment horizontal="center"/>
    </xf>
    <xf numFmtId="43" fontId="65" fillId="68" borderId="12" xfId="2301" applyFont="1" applyFill="1" applyBorder="1" applyAlignment="1">
      <alignment horizontal="center" vertical="center"/>
    </xf>
    <xf numFmtId="43" fontId="20" fillId="68" borderId="12" xfId="2301" applyFont="1" applyFill="1" applyBorder="1" applyAlignment="1">
      <alignment horizontal="center"/>
    </xf>
    <xf numFmtId="43" fontId="65" fillId="69" borderId="12" xfId="2301" applyFont="1" applyFill="1" applyBorder="1" applyAlignment="1">
      <alignment horizontal="center" vertical="center"/>
    </xf>
    <xf numFmtId="43" fontId="20" fillId="69" borderId="12" xfId="2301" applyFont="1" applyFill="1" applyBorder="1" applyAlignment="1">
      <alignment horizontal="center"/>
    </xf>
    <xf numFmtId="0" fontId="20" fillId="68" borderId="65" xfId="2470" applyFont="1" applyFill="1" applyBorder="1" applyAlignment="1">
      <alignment horizontal="center" vertical="center" wrapText="1"/>
    </xf>
    <xf numFmtId="0" fontId="20" fillId="68" borderId="43" xfId="2470" applyFont="1" applyFill="1" applyBorder="1" applyAlignment="1">
      <alignment horizontal="center" vertical="center" wrapText="1"/>
    </xf>
    <xf numFmtId="0" fontId="20" fillId="69" borderId="43" xfId="2985" applyFont="1" applyFill="1" applyBorder="1" applyAlignment="1">
      <alignment horizontal="center" vertical="center"/>
    </xf>
    <xf numFmtId="0" fontId="20" fillId="34" borderId="43" xfId="2985" applyFont="1" applyFill="1" applyBorder="1" applyAlignment="1">
      <alignment horizontal="center" vertical="center"/>
    </xf>
    <xf numFmtId="0" fontId="20" fillId="67" borderId="43" xfId="2985" applyFont="1" applyFill="1" applyBorder="1" applyAlignment="1">
      <alignment horizontal="center" vertical="center"/>
    </xf>
    <xf numFmtId="0" fontId="63" fillId="0" borderId="0" xfId="0" applyFont="1" applyAlignment="1">
      <alignment horizontal="center" wrapText="1"/>
    </xf>
    <xf numFmtId="0" fontId="55" fillId="0" borderId="0" xfId="0" applyFont="1" applyAlignment="1">
      <alignment horizontal="left" wrapText="1"/>
    </xf>
    <xf numFmtId="3" fontId="20" fillId="33" borderId="62" xfId="2506" quotePrefix="1" applyNumberFormat="1" applyFont="1" applyFill="1" applyBorder="1" applyAlignment="1">
      <alignment horizontal="center" wrapText="1"/>
    </xf>
    <xf numFmtId="3" fontId="20" fillId="33" borderId="63" xfId="2506" quotePrefix="1" applyNumberFormat="1" applyFont="1" applyFill="1" applyBorder="1" applyAlignment="1">
      <alignment horizontal="center" wrapText="1"/>
    </xf>
    <xf numFmtId="3" fontId="20" fillId="33" borderId="64" xfId="2506" quotePrefix="1" applyNumberFormat="1" applyFont="1" applyFill="1" applyBorder="1" applyAlignment="1">
      <alignment horizontal="center" wrapText="1"/>
    </xf>
    <xf numFmtId="0" fontId="55" fillId="0" borderId="0" xfId="0" applyFont="1" applyAlignment="1">
      <alignment horizontal="center" wrapText="1"/>
    </xf>
  </cellXfs>
  <cellStyles count="2987">
    <cellStyle name="20% - Accent1 10" xfId="2" xr:uid="{00000000-0005-0000-0000-000000000000}"/>
    <cellStyle name="20% - Accent1 10 2" xfId="3" xr:uid="{00000000-0005-0000-0000-000001000000}"/>
    <cellStyle name="20% - Accent1 10 2 2" xfId="4" xr:uid="{00000000-0005-0000-0000-000002000000}"/>
    <cellStyle name="20% - Accent1 10 2 2 2" xfId="5" xr:uid="{00000000-0005-0000-0000-000003000000}"/>
    <cellStyle name="20% - Accent1 10 2 3" xfId="6" xr:uid="{00000000-0005-0000-0000-000004000000}"/>
    <cellStyle name="20% - Accent1 10 2 4" xfId="7" xr:uid="{00000000-0005-0000-0000-000005000000}"/>
    <cellStyle name="20% - Accent1 10 3" xfId="8" xr:uid="{00000000-0005-0000-0000-000006000000}"/>
    <cellStyle name="20% - Accent1 10 3 2" xfId="9" xr:uid="{00000000-0005-0000-0000-000007000000}"/>
    <cellStyle name="20% - Accent1 10 4" xfId="10" xr:uid="{00000000-0005-0000-0000-000008000000}"/>
    <cellStyle name="20% - Accent1 10 5" xfId="11" xr:uid="{00000000-0005-0000-0000-000009000000}"/>
    <cellStyle name="20% - Accent1 11" xfId="12" xr:uid="{00000000-0005-0000-0000-00000A000000}"/>
    <cellStyle name="20% - Accent1 11 2" xfId="13" xr:uid="{00000000-0005-0000-0000-00000B000000}"/>
    <cellStyle name="20% - Accent1 11 2 2" xfId="14" xr:uid="{00000000-0005-0000-0000-00000C000000}"/>
    <cellStyle name="20% - Accent1 11 2 2 2" xfId="15" xr:uid="{00000000-0005-0000-0000-00000D000000}"/>
    <cellStyle name="20% - Accent1 11 2 3" xfId="16" xr:uid="{00000000-0005-0000-0000-00000E000000}"/>
    <cellStyle name="20% - Accent1 11 2 4" xfId="17" xr:uid="{00000000-0005-0000-0000-00000F000000}"/>
    <cellStyle name="20% - Accent1 11 3" xfId="18" xr:uid="{00000000-0005-0000-0000-000010000000}"/>
    <cellStyle name="20% - Accent1 11 3 2" xfId="19" xr:uid="{00000000-0005-0000-0000-000011000000}"/>
    <cellStyle name="20% - Accent1 11 4" xfId="20" xr:uid="{00000000-0005-0000-0000-000012000000}"/>
    <cellStyle name="20% - Accent1 11 5" xfId="21" xr:uid="{00000000-0005-0000-0000-000013000000}"/>
    <cellStyle name="20% - Accent1 12" xfId="22" xr:uid="{00000000-0005-0000-0000-000014000000}"/>
    <cellStyle name="20% - Accent1 12 2" xfId="23" xr:uid="{00000000-0005-0000-0000-000015000000}"/>
    <cellStyle name="20% - Accent1 12 2 2" xfId="24" xr:uid="{00000000-0005-0000-0000-000016000000}"/>
    <cellStyle name="20% - Accent1 12 3" xfId="25" xr:uid="{00000000-0005-0000-0000-000017000000}"/>
    <cellStyle name="20% - Accent1 12 4" xfId="26" xr:uid="{00000000-0005-0000-0000-000018000000}"/>
    <cellStyle name="20% - Accent1 13" xfId="27" xr:uid="{00000000-0005-0000-0000-000019000000}"/>
    <cellStyle name="20% - Accent1 13 2" xfId="28" xr:uid="{00000000-0005-0000-0000-00001A000000}"/>
    <cellStyle name="20% - Accent1 14" xfId="29" xr:uid="{00000000-0005-0000-0000-00001B000000}"/>
    <cellStyle name="20% - Accent1 14 2" xfId="30" xr:uid="{00000000-0005-0000-0000-00001C000000}"/>
    <cellStyle name="20% - Accent1 15" xfId="31" xr:uid="{00000000-0005-0000-0000-00001D000000}"/>
    <cellStyle name="20% - Accent1 16" xfId="32" xr:uid="{00000000-0005-0000-0000-00001E000000}"/>
    <cellStyle name="20% - Accent1 2" xfId="33" xr:uid="{00000000-0005-0000-0000-00001F000000}"/>
    <cellStyle name="20% - Accent1 2 2" xfId="34" xr:uid="{00000000-0005-0000-0000-000020000000}"/>
    <cellStyle name="20% - Accent1 2 2 2" xfId="35" xr:uid="{00000000-0005-0000-0000-000021000000}"/>
    <cellStyle name="20% - Accent1 2 2 2 2" xfId="36" xr:uid="{00000000-0005-0000-0000-000022000000}"/>
    <cellStyle name="20% - Accent1 2 2 2 2 2" xfId="37" xr:uid="{00000000-0005-0000-0000-000023000000}"/>
    <cellStyle name="20% - Accent1 2 2 2 2 2 2" xfId="38" xr:uid="{00000000-0005-0000-0000-000024000000}"/>
    <cellStyle name="20% - Accent1 2 2 2 2 3" xfId="39" xr:uid="{00000000-0005-0000-0000-000025000000}"/>
    <cellStyle name="20% - Accent1 2 2 2 2 4" xfId="40" xr:uid="{00000000-0005-0000-0000-000026000000}"/>
    <cellStyle name="20% - Accent1 2 2 2 3" xfId="41" xr:uid="{00000000-0005-0000-0000-000027000000}"/>
    <cellStyle name="20% - Accent1 2 2 2 3 2" xfId="42" xr:uid="{00000000-0005-0000-0000-000028000000}"/>
    <cellStyle name="20% - Accent1 2 2 2 4" xfId="43" xr:uid="{00000000-0005-0000-0000-000029000000}"/>
    <cellStyle name="20% - Accent1 2 2 2 5" xfId="44" xr:uid="{00000000-0005-0000-0000-00002A000000}"/>
    <cellStyle name="20% - Accent1 2 2 3" xfId="45" xr:uid="{00000000-0005-0000-0000-00002B000000}"/>
    <cellStyle name="20% - Accent1 2 2 3 2" xfId="46" xr:uid="{00000000-0005-0000-0000-00002C000000}"/>
    <cellStyle name="20% - Accent1 2 2 3 2 2" xfId="47" xr:uid="{00000000-0005-0000-0000-00002D000000}"/>
    <cellStyle name="20% - Accent1 2 2 3 3" xfId="48" xr:uid="{00000000-0005-0000-0000-00002E000000}"/>
    <cellStyle name="20% - Accent1 2 2 3 4" xfId="49" xr:uid="{00000000-0005-0000-0000-00002F000000}"/>
    <cellStyle name="20% - Accent1 2 2 4" xfId="50" xr:uid="{00000000-0005-0000-0000-000030000000}"/>
    <cellStyle name="20% - Accent1 2 2 4 2" xfId="51" xr:uid="{00000000-0005-0000-0000-000031000000}"/>
    <cellStyle name="20% - Accent1 2 2 5" xfId="52" xr:uid="{00000000-0005-0000-0000-000032000000}"/>
    <cellStyle name="20% - Accent1 2 2 5 2" xfId="53" xr:uid="{00000000-0005-0000-0000-000033000000}"/>
    <cellStyle name="20% - Accent1 2 2 6" xfId="54" xr:uid="{00000000-0005-0000-0000-000034000000}"/>
    <cellStyle name="20% - Accent1 2 2 7" xfId="55" xr:uid="{00000000-0005-0000-0000-000035000000}"/>
    <cellStyle name="20% - Accent1 2 3" xfId="56" xr:uid="{00000000-0005-0000-0000-000036000000}"/>
    <cellStyle name="20% - Accent1 2 3 2" xfId="57" xr:uid="{00000000-0005-0000-0000-000037000000}"/>
    <cellStyle name="20% - Accent1 2 3 2 2" xfId="58" xr:uid="{00000000-0005-0000-0000-000038000000}"/>
    <cellStyle name="20% - Accent1 2 3 2 2 2" xfId="59" xr:uid="{00000000-0005-0000-0000-000039000000}"/>
    <cellStyle name="20% - Accent1 2 3 2 3" xfId="60" xr:uid="{00000000-0005-0000-0000-00003A000000}"/>
    <cellStyle name="20% - Accent1 2 3 2 4" xfId="61" xr:uid="{00000000-0005-0000-0000-00003B000000}"/>
    <cellStyle name="20% - Accent1 2 3 3" xfId="62" xr:uid="{00000000-0005-0000-0000-00003C000000}"/>
    <cellStyle name="20% - Accent1 2 3 3 2" xfId="63" xr:uid="{00000000-0005-0000-0000-00003D000000}"/>
    <cellStyle name="20% - Accent1 2 3 4" xfId="64" xr:uid="{00000000-0005-0000-0000-00003E000000}"/>
    <cellStyle name="20% - Accent1 2 3 5" xfId="65" xr:uid="{00000000-0005-0000-0000-00003F000000}"/>
    <cellStyle name="20% - Accent1 2 4" xfId="66" xr:uid="{00000000-0005-0000-0000-000040000000}"/>
    <cellStyle name="20% - Accent1 2 4 2" xfId="67" xr:uid="{00000000-0005-0000-0000-000041000000}"/>
    <cellStyle name="20% - Accent1 2 4 2 2" xfId="68" xr:uid="{00000000-0005-0000-0000-000042000000}"/>
    <cellStyle name="20% - Accent1 2 4 3" xfId="69" xr:uid="{00000000-0005-0000-0000-000043000000}"/>
    <cellStyle name="20% - Accent1 2 4 4" xfId="70" xr:uid="{00000000-0005-0000-0000-000044000000}"/>
    <cellStyle name="20% - Accent1 2 5" xfId="71" xr:uid="{00000000-0005-0000-0000-000045000000}"/>
    <cellStyle name="20% - Accent1 2 5 2" xfId="72" xr:uid="{00000000-0005-0000-0000-000046000000}"/>
    <cellStyle name="20% - Accent1 2 6" xfId="73" xr:uid="{00000000-0005-0000-0000-000047000000}"/>
    <cellStyle name="20% - Accent1 2 6 2" xfId="74" xr:uid="{00000000-0005-0000-0000-000048000000}"/>
    <cellStyle name="20% - Accent1 2 7" xfId="75" xr:uid="{00000000-0005-0000-0000-000049000000}"/>
    <cellStyle name="20% - Accent1 2 8" xfId="76" xr:uid="{00000000-0005-0000-0000-00004A000000}"/>
    <cellStyle name="20% - Accent1 3" xfId="77" xr:uid="{00000000-0005-0000-0000-00004B000000}"/>
    <cellStyle name="20% - Accent1 3 2" xfId="78" xr:uid="{00000000-0005-0000-0000-00004C000000}"/>
    <cellStyle name="20% - Accent1 4" xfId="79" xr:uid="{00000000-0005-0000-0000-00004D000000}"/>
    <cellStyle name="20% - Accent1 4 2" xfId="80" xr:uid="{00000000-0005-0000-0000-00004E000000}"/>
    <cellStyle name="20% - Accent1 4 2 2" xfId="81" xr:uid="{00000000-0005-0000-0000-00004F000000}"/>
    <cellStyle name="20% - Accent1 4 2 2 2" xfId="82" xr:uid="{00000000-0005-0000-0000-000050000000}"/>
    <cellStyle name="20% - Accent1 4 2 2 2 2" xfId="83" xr:uid="{00000000-0005-0000-0000-000051000000}"/>
    <cellStyle name="20% - Accent1 4 2 2 3" xfId="84" xr:uid="{00000000-0005-0000-0000-000052000000}"/>
    <cellStyle name="20% - Accent1 4 2 2 4" xfId="85" xr:uid="{00000000-0005-0000-0000-000053000000}"/>
    <cellStyle name="20% - Accent1 4 2 3" xfId="86" xr:uid="{00000000-0005-0000-0000-000054000000}"/>
    <cellStyle name="20% - Accent1 4 2 3 2" xfId="87" xr:uid="{00000000-0005-0000-0000-000055000000}"/>
    <cellStyle name="20% - Accent1 4 2 4" xfId="88" xr:uid="{00000000-0005-0000-0000-000056000000}"/>
    <cellStyle name="20% - Accent1 4 2 5" xfId="89" xr:uid="{00000000-0005-0000-0000-000057000000}"/>
    <cellStyle name="20% - Accent1 4 3" xfId="90" xr:uid="{00000000-0005-0000-0000-000058000000}"/>
    <cellStyle name="20% - Accent1 4 3 2" xfId="91" xr:uid="{00000000-0005-0000-0000-000059000000}"/>
    <cellStyle name="20% - Accent1 4 3 2 2" xfId="92" xr:uid="{00000000-0005-0000-0000-00005A000000}"/>
    <cellStyle name="20% - Accent1 4 3 3" xfId="93" xr:uid="{00000000-0005-0000-0000-00005B000000}"/>
    <cellStyle name="20% - Accent1 4 3 4" xfId="94" xr:uid="{00000000-0005-0000-0000-00005C000000}"/>
    <cellStyle name="20% - Accent1 4 4" xfId="95" xr:uid="{00000000-0005-0000-0000-00005D000000}"/>
    <cellStyle name="20% - Accent1 4 4 2" xfId="96" xr:uid="{00000000-0005-0000-0000-00005E000000}"/>
    <cellStyle name="20% - Accent1 4 5" xfId="97" xr:uid="{00000000-0005-0000-0000-00005F000000}"/>
    <cellStyle name="20% - Accent1 4 5 2" xfId="98" xr:uid="{00000000-0005-0000-0000-000060000000}"/>
    <cellStyle name="20% - Accent1 4 6" xfId="99" xr:uid="{00000000-0005-0000-0000-000061000000}"/>
    <cellStyle name="20% - Accent1 4 7" xfId="100" xr:uid="{00000000-0005-0000-0000-000062000000}"/>
    <cellStyle name="20% - Accent1 5" xfId="101" xr:uid="{00000000-0005-0000-0000-000063000000}"/>
    <cellStyle name="20% - Accent1 5 2" xfId="102" xr:uid="{00000000-0005-0000-0000-000064000000}"/>
    <cellStyle name="20% - Accent1 5 2 2" xfId="103" xr:uid="{00000000-0005-0000-0000-000065000000}"/>
    <cellStyle name="20% - Accent1 5 2 2 2" xfId="104" xr:uid="{00000000-0005-0000-0000-000066000000}"/>
    <cellStyle name="20% - Accent1 5 2 2 2 2" xfId="105" xr:uid="{00000000-0005-0000-0000-000067000000}"/>
    <cellStyle name="20% - Accent1 5 2 2 3" xfId="106" xr:uid="{00000000-0005-0000-0000-000068000000}"/>
    <cellStyle name="20% - Accent1 5 2 2 4" xfId="107" xr:uid="{00000000-0005-0000-0000-000069000000}"/>
    <cellStyle name="20% - Accent1 5 2 3" xfId="108" xr:uid="{00000000-0005-0000-0000-00006A000000}"/>
    <cellStyle name="20% - Accent1 5 2 3 2" xfId="109" xr:uid="{00000000-0005-0000-0000-00006B000000}"/>
    <cellStyle name="20% - Accent1 5 2 4" xfId="110" xr:uid="{00000000-0005-0000-0000-00006C000000}"/>
    <cellStyle name="20% - Accent1 5 2 5" xfId="111" xr:uid="{00000000-0005-0000-0000-00006D000000}"/>
    <cellStyle name="20% - Accent1 5 3" xfId="112" xr:uid="{00000000-0005-0000-0000-00006E000000}"/>
    <cellStyle name="20% - Accent1 5 3 2" xfId="113" xr:uid="{00000000-0005-0000-0000-00006F000000}"/>
    <cellStyle name="20% - Accent1 5 3 2 2" xfId="114" xr:uid="{00000000-0005-0000-0000-000070000000}"/>
    <cellStyle name="20% - Accent1 5 3 3" xfId="115" xr:uid="{00000000-0005-0000-0000-000071000000}"/>
    <cellStyle name="20% - Accent1 5 3 4" xfId="116" xr:uid="{00000000-0005-0000-0000-000072000000}"/>
    <cellStyle name="20% - Accent1 5 4" xfId="117" xr:uid="{00000000-0005-0000-0000-000073000000}"/>
    <cellStyle name="20% - Accent1 5 4 2" xfId="118" xr:uid="{00000000-0005-0000-0000-000074000000}"/>
    <cellStyle name="20% - Accent1 5 5" xfId="119" xr:uid="{00000000-0005-0000-0000-000075000000}"/>
    <cellStyle name="20% - Accent1 5 5 2" xfId="120" xr:uid="{00000000-0005-0000-0000-000076000000}"/>
    <cellStyle name="20% - Accent1 5 6" xfId="121" xr:uid="{00000000-0005-0000-0000-000077000000}"/>
    <cellStyle name="20% - Accent1 5 7" xfId="122" xr:uid="{00000000-0005-0000-0000-000078000000}"/>
    <cellStyle name="20% - Accent1 6" xfId="123" xr:uid="{00000000-0005-0000-0000-000079000000}"/>
    <cellStyle name="20% - Accent1 7" xfId="124" xr:uid="{00000000-0005-0000-0000-00007A000000}"/>
    <cellStyle name="20% - Accent1 7 2" xfId="125" xr:uid="{00000000-0005-0000-0000-00007B000000}"/>
    <cellStyle name="20% - Accent1 7 2 2" xfId="126" xr:uid="{00000000-0005-0000-0000-00007C000000}"/>
    <cellStyle name="20% - Accent1 7 2 2 2" xfId="127" xr:uid="{00000000-0005-0000-0000-00007D000000}"/>
    <cellStyle name="20% - Accent1 7 2 2 2 2" xfId="128" xr:uid="{00000000-0005-0000-0000-00007E000000}"/>
    <cellStyle name="20% - Accent1 7 2 2 3" xfId="129" xr:uid="{00000000-0005-0000-0000-00007F000000}"/>
    <cellStyle name="20% - Accent1 7 2 2 4" xfId="130" xr:uid="{00000000-0005-0000-0000-000080000000}"/>
    <cellStyle name="20% - Accent1 7 2 3" xfId="131" xr:uid="{00000000-0005-0000-0000-000081000000}"/>
    <cellStyle name="20% - Accent1 7 2 3 2" xfId="132" xr:uid="{00000000-0005-0000-0000-000082000000}"/>
    <cellStyle name="20% - Accent1 7 2 4" xfId="133" xr:uid="{00000000-0005-0000-0000-000083000000}"/>
    <cellStyle name="20% - Accent1 7 2 5" xfId="134" xr:uid="{00000000-0005-0000-0000-000084000000}"/>
    <cellStyle name="20% - Accent1 7 3" xfId="135" xr:uid="{00000000-0005-0000-0000-000085000000}"/>
    <cellStyle name="20% - Accent1 7 3 2" xfId="136" xr:uid="{00000000-0005-0000-0000-000086000000}"/>
    <cellStyle name="20% - Accent1 7 3 2 2" xfId="137" xr:uid="{00000000-0005-0000-0000-000087000000}"/>
    <cellStyle name="20% - Accent1 7 3 3" xfId="138" xr:uid="{00000000-0005-0000-0000-000088000000}"/>
    <cellStyle name="20% - Accent1 7 3 4" xfId="139" xr:uid="{00000000-0005-0000-0000-000089000000}"/>
    <cellStyle name="20% - Accent1 7 4" xfId="140" xr:uid="{00000000-0005-0000-0000-00008A000000}"/>
    <cellStyle name="20% - Accent1 7 4 2" xfId="141" xr:uid="{00000000-0005-0000-0000-00008B000000}"/>
    <cellStyle name="20% - Accent1 7 5" xfId="142" xr:uid="{00000000-0005-0000-0000-00008C000000}"/>
    <cellStyle name="20% - Accent1 7 6" xfId="143" xr:uid="{00000000-0005-0000-0000-00008D000000}"/>
    <cellStyle name="20% - Accent1 8" xfId="144" xr:uid="{00000000-0005-0000-0000-00008E000000}"/>
    <cellStyle name="20% - Accent1 8 2" xfId="145" xr:uid="{00000000-0005-0000-0000-00008F000000}"/>
    <cellStyle name="20% - Accent1 8 2 2" xfId="146" xr:uid="{00000000-0005-0000-0000-000090000000}"/>
    <cellStyle name="20% - Accent1 8 2 2 2" xfId="147" xr:uid="{00000000-0005-0000-0000-000091000000}"/>
    <cellStyle name="20% - Accent1 8 2 2 2 2" xfId="148" xr:uid="{00000000-0005-0000-0000-000092000000}"/>
    <cellStyle name="20% - Accent1 8 2 2 3" xfId="149" xr:uid="{00000000-0005-0000-0000-000093000000}"/>
    <cellStyle name="20% - Accent1 8 2 2 4" xfId="150" xr:uid="{00000000-0005-0000-0000-000094000000}"/>
    <cellStyle name="20% - Accent1 8 2 3" xfId="151" xr:uid="{00000000-0005-0000-0000-000095000000}"/>
    <cellStyle name="20% - Accent1 8 2 3 2" xfId="152" xr:uid="{00000000-0005-0000-0000-000096000000}"/>
    <cellStyle name="20% - Accent1 8 2 4" xfId="153" xr:uid="{00000000-0005-0000-0000-000097000000}"/>
    <cellStyle name="20% - Accent1 8 2 5" xfId="154" xr:uid="{00000000-0005-0000-0000-000098000000}"/>
    <cellStyle name="20% - Accent1 8 3" xfId="155" xr:uid="{00000000-0005-0000-0000-000099000000}"/>
    <cellStyle name="20% - Accent1 8 3 2" xfId="156" xr:uid="{00000000-0005-0000-0000-00009A000000}"/>
    <cellStyle name="20% - Accent1 8 3 2 2" xfId="157" xr:uid="{00000000-0005-0000-0000-00009B000000}"/>
    <cellStyle name="20% - Accent1 8 3 3" xfId="158" xr:uid="{00000000-0005-0000-0000-00009C000000}"/>
    <cellStyle name="20% - Accent1 8 3 4" xfId="159" xr:uid="{00000000-0005-0000-0000-00009D000000}"/>
    <cellStyle name="20% - Accent1 8 4" xfId="160" xr:uid="{00000000-0005-0000-0000-00009E000000}"/>
    <cellStyle name="20% - Accent1 8 4 2" xfId="161" xr:uid="{00000000-0005-0000-0000-00009F000000}"/>
    <cellStyle name="20% - Accent1 8 5" xfId="162" xr:uid="{00000000-0005-0000-0000-0000A0000000}"/>
    <cellStyle name="20% - Accent1 8 6" xfId="163" xr:uid="{00000000-0005-0000-0000-0000A1000000}"/>
    <cellStyle name="20% - Accent1 9" xfId="164" xr:uid="{00000000-0005-0000-0000-0000A2000000}"/>
    <cellStyle name="20% - Accent1 9 2" xfId="165" xr:uid="{00000000-0005-0000-0000-0000A3000000}"/>
    <cellStyle name="20% - Accent1 9 2 2" xfId="166" xr:uid="{00000000-0005-0000-0000-0000A4000000}"/>
    <cellStyle name="20% - Accent1 9 2 2 2" xfId="167" xr:uid="{00000000-0005-0000-0000-0000A5000000}"/>
    <cellStyle name="20% - Accent1 9 2 2 2 2" xfId="168" xr:uid="{00000000-0005-0000-0000-0000A6000000}"/>
    <cellStyle name="20% - Accent1 9 2 2 3" xfId="169" xr:uid="{00000000-0005-0000-0000-0000A7000000}"/>
    <cellStyle name="20% - Accent1 9 2 2 4" xfId="170" xr:uid="{00000000-0005-0000-0000-0000A8000000}"/>
    <cellStyle name="20% - Accent1 9 2 3" xfId="171" xr:uid="{00000000-0005-0000-0000-0000A9000000}"/>
    <cellStyle name="20% - Accent1 9 2 3 2" xfId="172" xr:uid="{00000000-0005-0000-0000-0000AA000000}"/>
    <cellStyle name="20% - Accent1 9 2 4" xfId="173" xr:uid="{00000000-0005-0000-0000-0000AB000000}"/>
    <cellStyle name="20% - Accent1 9 2 5" xfId="174" xr:uid="{00000000-0005-0000-0000-0000AC000000}"/>
    <cellStyle name="20% - Accent1 9 3" xfId="175" xr:uid="{00000000-0005-0000-0000-0000AD000000}"/>
    <cellStyle name="20% - Accent1 9 3 2" xfId="176" xr:uid="{00000000-0005-0000-0000-0000AE000000}"/>
    <cellStyle name="20% - Accent1 9 3 2 2" xfId="177" xr:uid="{00000000-0005-0000-0000-0000AF000000}"/>
    <cellStyle name="20% - Accent1 9 3 3" xfId="178" xr:uid="{00000000-0005-0000-0000-0000B0000000}"/>
    <cellStyle name="20% - Accent1 9 3 4" xfId="179" xr:uid="{00000000-0005-0000-0000-0000B1000000}"/>
    <cellStyle name="20% - Accent1 9 4" xfId="180" xr:uid="{00000000-0005-0000-0000-0000B2000000}"/>
    <cellStyle name="20% - Accent1 9 4 2" xfId="181" xr:uid="{00000000-0005-0000-0000-0000B3000000}"/>
    <cellStyle name="20% - Accent1 9 5" xfId="182" xr:uid="{00000000-0005-0000-0000-0000B4000000}"/>
    <cellStyle name="20% - Accent1 9 6" xfId="183" xr:uid="{00000000-0005-0000-0000-0000B5000000}"/>
    <cellStyle name="20% - Accent2 10" xfId="184" xr:uid="{00000000-0005-0000-0000-0000B6000000}"/>
    <cellStyle name="20% - Accent2 10 2" xfId="185" xr:uid="{00000000-0005-0000-0000-0000B7000000}"/>
    <cellStyle name="20% - Accent2 10 2 2" xfId="186" xr:uid="{00000000-0005-0000-0000-0000B8000000}"/>
    <cellStyle name="20% - Accent2 10 2 2 2" xfId="187" xr:uid="{00000000-0005-0000-0000-0000B9000000}"/>
    <cellStyle name="20% - Accent2 10 2 3" xfId="188" xr:uid="{00000000-0005-0000-0000-0000BA000000}"/>
    <cellStyle name="20% - Accent2 10 2 4" xfId="189" xr:uid="{00000000-0005-0000-0000-0000BB000000}"/>
    <cellStyle name="20% - Accent2 10 3" xfId="190" xr:uid="{00000000-0005-0000-0000-0000BC000000}"/>
    <cellStyle name="20% - Accent2 10 3 2" xfId="191" xr:uid="{00000000-0005-0000-0000-0000BD000000}"/>
    <cellStyle name="20% - Accent2 10 4" xfId="192" xr:uid="{00000000-0005-0000-0000-0000BE000000}"/>
    <cellStyle name="20% - Accent2 10 5" xfId="193" xr:uid="{00000000-0005-0000-0000-0000BF000000}"/>
    <cellStyle name="20% - Accent2 11" xfId="194" xr:uid="{00000000-0005-0000-0000-0000C0000000}"/>
    <cellStyle name="20% - Accent2 11 2" xfId="195" xr:uid="{00000000-0005-0000-0000-0000C1000000}"/>
    <cellStyle name="20% - Accent2 11 2 2" xfId="196" xr:uid="{00000000-0005-0000-0000-0000C2000000}"/>
    <cellStyle name="20% - Accent2 11 2 2 2" xfId="197" xr:uid="{00000000-0005-0000-0000-0000C3000000}"/>
    <cellStyle name="20% - Accent2 11 2 3" xfId="198" xr:uid="{00000000-0005-0000-0000-0000C4000000}"/>
    <cellStyle name="20% - Accent2 11 2 4" xfId="199" xr:uid="{00000000-0005-0000-0000-0000C5000000}"/>
    <cellStyle name="20% - Accent2 11 3" xfId="200" xr:uid="{00000000-0005-0000-0000-0000C6000000}"/>
    <cellStyle name="20% - Accent2 11 3 2" xfId="201" xr:uid="{00000000-0005-0000-0000-0000C7000000}"/>
    <cellStyle name="20% - Accent2 11 4" xfId="202" xr:uid="{00000000-0005-0000-0000-0000C8000000}"/>
    <cellStyle name="20% - Accent2 11 5" xfId="203" xr:uid="{00000000-0005-0000-0000-0000C9000000}"/>
    <cellStyle name="20% - Accent2 12" xfId="204" xr:uid="{00000000-0005-0000-0000-0000CA000000}"/>
    <cellStyle name="20% - Accent2 12 2" xfId="205" xr:uid="{00000000-0005-0000-0000-0000CB000000}"/>
    <cellStyle name="20% - Accent2 12 2 2" xfId="206" xr:uid="{00000000-0005-0000-0000-0000CC000000}"/>
    <cellStyle name="20% - Accent2 12 3" xfId="207" xr:uid="{00000000-0005-0000-0000-0000CD000000}"/>
    <cellStyle name="20% - Accent2 12 4" xfId="208" xr:uid="{00000000-0005-0000-0000-0000CE000000}"/>
    <cellStyle name="20% - Accent2 13" xfId="209" xr:uid="{00000000-0005-0000-0000-0000CF000000}"/>
    <cellStyle name="20% - Accent2 13 2" xfId="210" xr:uid="{00000000-0005-0000-0000-0000D0000000}"/>
    <cellStyle name="20% - Accent2 14" xfId="211" xr:uid="{00000000-0005-0000-0000-0000D1000000}"/>
    <cellStyle name="20% - Accent2 14 2" xfId="212" xr:uid="{00000000-0005-0000-0000-0000D2000000}"/>
    <cellStyle name="20% - Accent2 15" xfId="213" xr:uid="{00000000-0005-0000-0000-0000D3000000}"/>
    <cellStyle name="20% - Accent2 16" xfId="214" xr:uid="{00000000-0005-0000-0000-0000D4000000}"/>
    <cellStyle name="20% - Accent2 2" xfId="215" xr:uid="{00000000-0005-0000-0000-0000D5000000}"/>
    <cellStyle name="20% - Accent2 2 2" xfId="216" xr:uid="{00000000-0005-0000-0000-0000D6000000}"/>
    <cellStyle name="20% - Accent2 2 2 2" xfId="217" xr:uid="{00000000-0005-0000-0000-0000D7000000}"/>
    <cellStyle name="20% - Accent2 2 2 2 2" xfId="218" xr:uid="{00000000-0005-0000-0000-0000D8000000}"/>
    <cellStyle name="20% - Accent2 2 2 2 2 2" xfId="219" xr:uid="{00000000-0005-0000-0000-0000D9000000}"/>
    <cellStyle name="20% - Accent2 2 2 2 2 2 2" xfId="220" xr:uid="{00000000-0005-0000-0000-0000DA000000}"/>
    <cellStyle name="20% - Accent2 2 2 2 2 3" xfId="221" xr:uid="{00000000-0005-0000-0000-0000DB000000}"/>
    <cellStyle name="20% - Accent2 2 2 2 2 4" xfId="222" xr:uid="{00000000-0005-0000-0000-0000DC000000}"/>
    <cellStyle name="20% - Accent2 2 2 2 3" xfId="223" xr:uid="{00000000-0005-0000-0000-0000DD000000}"/>
    <cellStyle name="20% - Accent2 2 2 2 3 2" xfId="224" xr:uid="{00000000-0005-0000-0000-0000DE000000}"/>
    <cellStyle name="20% - Accent2 2 2 2 4" xfId="225" xr:uid="{00000000-0005-0000-0000-0000DF000000}"/>
    <cellStyle name="20% - Accent2 2 2 2 5" xfId="226" xr:uid="{00000000-0005-0000-0000-0000E0000000}"/>
    <cellStyle name="20% - Accent2 2 2 3" xfId="227" xr:uid="{00000000-0005-0000-0000-0000E1000000}"/>
    <cellStyle name="20% - Accent2 2 2 3 2" xfId="228" xr:uid="{00000000-0005-0000-0000-0000E2000000}"/>
    <cellStyle name="20% - Accent2 2 2 3 2 2" xfId="229" xr:uid="{00000000-0005-0000-0000-0000E3000000}"/>
    <cellStyle name="20% - Accent2 2 2 3 3" xfId="230" xr:uid="{00000000-0005-0000-0000-0000E4000000}"/>
    <cellStyle name="20% - Accent2 2 2 3 4" xfId="231" xr:uid="{00000000-0005-0000-0000-0000E5000000}"/>
    <cellStyle name="20% - Accent2 2 2 4" xfId="232" xr:uid="{00000000-0005-0000-0000-0000E6000000}"/>
    <cellStyle name="20% - Accent2 2 2 4 2" xfId="233" xr:uid="{00000000-0005-0000-0000-0000E7000000}"/>
    <cellStyle name="20% - Accent2 2 2 5" xfId="234" xr:uid="{00000000-0005-0000-0000-0000E8000000}"/>
    <cellStyle name="20% - Accent2 2 2 5 2" xfId="235" xr:uid="{00000000-0005-0000-0000-0000E9000000}"/>
    <cellStyle name="20% - Accent2 2 2 6" xfId="236" xr:uid="{00000000-0005-0000-0000-0000EA000000}"/>
    <cellStyle name="20% - Accent2 2 2 7" xfId="237" xr:uid="{00000000-0005-0000-0000-0000EB000000}"/>
    <cellStyle name="20% - Accent2 2 3" xfId="238" xr:uid="{00000000-0005-0000-0000-0000EC000000}"/>
    <cellStyle name="20% - Accent2 2 3 2" xfId="239" xr:uid="{00000000-0005-0000-0000-0000ED000000}"/>
    <cellStyle name="20% - Accent2 2 3 2 2" xfId="240" xr:uid="{00000000-0005-0000-0000-0000EE000000}"/>
    <cellStyle name="20% - Accent2 2 3 2 2 2" xfId="241" xr:uid="{00000000-0005-0000-0000-0000EF000000}"/>
    <cellStyle name="20% - Accent2 2 3 2 3" xfId="242" xr:uid="{00000000-0005-0000-0000-0000F0000000}"/>
    <cellStyle name="20% - Accent2 2 3 2 4" xfId="243" xr:uid="{00000000-0005-0000-0000-0000F1000000}"/>
    <cellStyle name="20% - Accent2 2 3 3" xfId="244" xr:uid="{00000000-0005-0000-0000-0000F2000000}"/>
    <cellStyle name="20% - Accent2 2 3 3 2" xfId="245" xr:uid="{00000000-0005-0000-0000-0000F3000000}"/>
    <cellStyle name="20% - Accent2 2 3 4" xfId="246" xr:uid="{00000000-0005-0000-0000-0000F4000000}"/>
    <cellStyle name="20% - Accent2 2 3 5" xfId="247" xr:uid="{00000000-0005-0000-0000-0000F5000000}"/>
    <cellStyle name="20% - Accent2 2 4" xfId="248" xr:uid="{00000000-0005-0000-0000-0000F6000000}"/>
    <cellStyle name="20% - Accent2 2 4 2" xfId="249" xr:uid="{00000000-0005-0000-0000-0000F7000000}"/>
    <cellStyle name="20% - Accent2 2 4 2 2" xfId="250" xr:uid="{00000000-0005-0000-0000-0000F8000000}"/>
    <cellStyle name="20% - Accent2 2 4 3" xfId="251" xr:uid="{00000000-0005-0000-0000-0000F9000000}"/>
    <cellStyle name="20% - Accent2 2 4 4" xfId="252" xr:uid="{00000000-0005-0000-0000-0000FA000000}"/>
    <cellStyle name="20% - Accent2 2 5" xfId="253" xr:uid="{00000000-0005-0000-0000-0000FB000000}"/>
    <cellStyle name="20% - Accent2 2 5 2" xfId="254" xr:uid="{00000000-0005-0000-0000-0000FC000000}"/>
    <cellStyle name="20% - Accent2 2 6" xfId="255" xr:uid="{00000000-0005-0000-0000-0000FD000000}"/>
    <cellStyle name="20% - Accent2 2 6 2" xfId="256" xr:uid="{00000000-0005-0000-0000-0000FE000000}"/>
    <cellStyle name="20% - Accent2 2 7" xfId="257" xr:uid="{00000000-0005-0000-0000-0000FF000000}"/>
    <cellStyle name="20% - Accent2 2 8" xfId="258" xr:uid="{00000000-0005-0000-0000-000000010000}"/>
    <cellStyle name="20% - Accent2 3" xfId="259" xr:uid="{00000000-0005-0000-0000-000001010000}"/>
    <cellStyle name="20% - Accent2 3 2" xfId="260" xr:uid="{00000000-0005-0000-0000-000002010000}"/>
    <cellStyle name="20% - Accent2 4" xfId="261" xr:uid="{00000000-0005-0000-0000-000003010000}"/>
    <cellStyle name="20% - Accent2 4 2" xfId="262" xr:uid="{00000000-0005-0000-0000-000004010000}"/>
    <cellStyle name="20% - Accent2 4 2 2" xfId="263" xr:uid="{00000000-0005-0000-0000-000005010000}"/>
    <cellStyle name="20% - Accent2 4 2 2 2" xfId="264" xr:uid="{00000000-0005-0000-0000-000006010000}"/>
    <cellStyle name="20% - Accent2 4 2 2 2 2" xfId="265" xr:uid="{00000000-0005-0000-0000-000007010000}"/>
    <cellStyle name="20% - Accent2 4 2 2 3" xfId="266" xr:uid="{00000000-0005-0000-0000-000008010000}"/>
    <cellStyle name="20% - Accent2 4 2 2 4" xfId="267" xr:uid="{00000000-0005-0000-0000-000009010000}"/>
    <cellStyle name="20% - Accent2 4 2 3" xfId="268" xr:uid="{00000000-0005-0000-0000-00000A010000}"/>
    <cellStyle name="20% - Accent2 4 2 3 2" xfId="269" xr:uid="{00000000-0005-0000-0000-00000B010000}"/>
    <cellStyle name="20% - Accent2 4 2 4" xfId="270" xr:uid="{00000000-0005-0000-0000-00000C010000}"/>
    <cellStyle name="20% - Accent2 4 2 5" xfId="271" xr:uid="{00000000-0005-0000-0000-00000D010000}"/>
    <cellStyle name="20% - Accent2 4 3" xfId="272" xr:uid="{00000000-0005-0000-0000-00000E010000}"/>
    <cellStyle name="20% - Accent2 4 3 2" xfId="273" xr:uid="{00000000-0005-0000-0000-00000F010000}"/>
    <cellStyle name="20% - Accent2 4 3 2 2" xfId="274" xr:uid="{00000000-0005-0000-0000-000010010000}"/>
    <cellStyle name="20% - Accent2 4 3 3" xfId="275" xr:uid="{00000000-0005-0000-0000-000011010000}"/>
    <cellStyle name="20% - Accent2 4 3 4" xfId="276" xr:uid="{00000000-0005-0000-0000-000012010000}"/>
    <cellStyle name="20% - Accent2 4 4" xfId="277" xr:uid="{00000000-0005-0000-0000-000013010000}"/>
    <cellStyle name="20% - Accent2 4 4 2" xfId="278" xr:uid="{00000000-0005-0000-0000-000014010000}"/>
    <cellStyle name="20% - Accent2 4 5" xfId="279" xr:uid="{00000000-0005-0000-0000-000015010000}"/>
    <cellStyle name="20% - Accent2 4 5 2" xfId="280" xr:uid="{00000000-0005-0000-0000-000016010000}"/>
    <cellStyle name="20% - Accent2 4 6" xfId="281" xr:uid="{00000000-0005-0000-0000-000017010000}"/>
    <cellStyle name="20% - Accent2 4 7" xfId="282" xr:uid="{00000000-0005-0000-0000-000018010000}"/>
    <cellStyle name="20% - Accent2 5" xfId="283" xr:uid="{00000000-0005-0000-0000-000019010000}"/>
    <cellStyle name="20% - Accent2 5 2" xfId="284" xr:uid="{00000000-0005-0000-0000-00001A010000}"/>
    <cellStyle name="20% - Accent2 5 2 2" xfId="285" xr:uid="{00000000-0005-0000-0000-00001B010000}"/>
    <cellStyle name="20% - Accent2 5 2 2 2" xfId="286" xr:uid="{00000000-0005-0000-0000-00001C010000}"/>
    <cellStyle name="20% - Accent2 5 2 2 2 2" xfId="287" xr:uid="{00000000-0005-0000-0000-00001D010000}"/>
    <cellStyle name="20% - Accent2 5 2 2 3" xfId="288" xr:uid="{00000000-0005-0000-0000-00001E010000}"/>
    <cellStyle name="20% - Accent2 5 2 2 4" xfId="289" xr:uid="{00000000-0005-0000-0000-00001F010000}"/>
    <cellStyle name="20% - Accent2 5 2 3" xfId="290" xr:uid="{00000000-0005-0000-0000-000020010000}"/>
    <cellStyle name="20% - Accent2 5 2 3 2" xfId="291" xr:uid="{00000000-0005-0000-0000-000021010000}"/>
    <cellStyle name="20% - Accent2 5 2 4" xfId="292" xr:uid="{00000000-0005-0000-0000-000022010000}"/>
    <cellStyle name="20% - Accent2 5 2 5" xfId="293" xr:uid="{00000000-0005-0000-0000-000023010000}"/>
    <cellStyle name="20% - Accent2 5 3" xfId="294" xr:uid="{00000000-0005-0000-0000-000024010000}"/>
    <cellStyle name="20% - Accent2 5 3 2" xfId="295" xr:uid="{00000000-0005-0000-0000-000025010000}"/>
    <cellStyle name="20% - Accent2 5 3 2 2" xfId="296" xr:uid="{00000000-0005-0000-0000-000026010000}"/>
    <cellStyle name="20% - Accent2 5 3 3" xfId="297" xr:uid="{00000000-0005-0000-0000-000027010000}"/>
    <cellStyle name="20% - Accent2 5 3 4" xfId="298" xr:uid="{00000000-0005-0000-0000-000028010000}"/>
    <cellStyle name="20% - Accent2 5 4" xfId="299" xr:uid="{00000000-0005-0000-0000-000029010000}"/>
    <cellStyle name="20% - Accent2 5 4 2" xfId="300" xr:uid="{00000000-0005-0000-0000-00002A010000}"/>
    <cellStyle name="20% - Accent2 5 5" xfId="301" xr:uid="{00000000-0005-0000-0000-00002B010000}"/>
    <cellStyle name="20% - Accent2 5 5 2" xfId="302" xr:uid="{00000000-0005-0000-0000-00002C010000}"/>
    <cellStyle name="20% - Accent2 5 6" xfId="303" xr:uid="{00000000-0005-0000-0000-00002D010000}"/>
    <cellStyle name="20% - Accent2 5 7" xfId="304" xr:uid="{00000000-0005-0000-0000-00002E010000}"/>
    <cellStyle name="20% - Accent2 6" xfId="305" xr:uid="{00000000-0005-0000-0000-00002F010000}"/>
    <cellStyle name="20% - Accent2 7" xfId="306" xr:uid="{00000000-0005-0000-0000-000030010000}"/>
    <cellStyle name="20% - Accent2 7 2" xfId="307" xr:uid="{00000000-0005-0000-0000-000031010000}"/>
    <cellStyle name="20% - Accent2 7 2 2" xfId="308" xr:uid="{00000000-0005-0000-0000-000032010000}"/>
    <cellStyle name="20% - Accent2 7 2 2 2" xfId="309" xr:uid="{00000000-0005-0000-0000-000033010000}"/>
    <cellStyle name="20% - Accent2 7 2 2 2 2" xfId="310" xr:uid="{00000000-0005-0000-0000-000034010000}"/>
    <cellStyle name="20% - Accent2 7 2 2 3" xfId="311" xr:uid="{00000000-0005-0000-0000-000035010000}"/>
    <cellStyle name="20% - Accent2 7 2 2 4" xfId="312" xr:uid="{00000000-0005-0000-0000-000036010000}"/>
    <cellStyle name="20% - Accent2 7 2 3" xfId="313" xr:uid="{00000000-0005-0000-0000-000037010000}"/>
    <cellStyle name="20% - Accent2 7 2 3 2" xfId="314" xr:uid="{00000000-0005-0000-0000-000038010000}"/>
    <cellStyle name="20% - Accent2 7 2 4" xfId="315" xr:uid="{00000000-0005-0000-0000-000039010000}"/>
    <cellStyle name="20% - Accent2 7 2 5" xfId="316" xr:uid="{00000000-0005-0000-0000-00003A010000}"/>
    <cellStyle name="20% - Accent2 7 3" xfId="317" xr:uid="{00000000-0005-0000-0000-00003B010000}"/>
    <cellStyle name="20% - Accent2 7 3 2" xfId="318" xr:uid="{00000000-0005-0000-0000-00003C010000}"/>
    <cellStyle name="20% - Accent2 7 3 2 2" xfId="319" xr:uid="{00000000-0005-0000-0000-00003D010000}"/>
    <cellStyle name="20% - Accent2 7 3 3" xfId="320" xr:uid="{00000000-0005-0000-0000-00003E010000}"/>
    <cellStyle name="20% - Accent2 7 3 4" xfId="321" xr:uid="{00000000-0005-0000-0000-00003F010000}"/>
    <cellStyle name="20% - Accent2 7 4" xfId="322" xr:uid="{00000000-0005-0000-0000-000040010000}"/>
    <cellStyle name="20% - Accent2 7 4 2" xfId="323" xr:uid="{00000000-0005-0000-0000-000041010000}"/>
    <cellStyle name="20% - Accent2 7 5" xfId="324" xr:uid="{00000000-0005-0000-0000-000042010000}"/>
    <cellStyle name="20% - Accent2 7 6" xfId="325" xr:uid="{00000000-0005-0000-0000-000043010000}"/>
    <cellStyle name="20% - Accent2 8" xfId="326" xr:uid="{00000000-0005-0000-0000-000044010000}"/>
    <cellStyle name="20% - Accent2 8 2" xfId="327" xr:uid="{00000000-0005-0000-0000-000045010000}"/>
    <cellStyle name="20% - Accent2 8 2 2" xfId="328" xr:uid="{00000000-0005-0000-0000-000046010000}"/>
    <cellStyle name="20% - Accent2 8 2 2 2" xfId="329" xr:uid="{00000000-0005-0000-0000-000047010000}"/>
    <cellStyle name="20% - Accent2 8 2 2 2 2" xfId="330" xr:uid="{00000000-0005-0000-0000-000048010000}"/>
    <cellStyle name="20% - Accent2 8 2 2 3" xfId="331" xr:uid="{00000000-0005-0000-0000-000049010000}"/>
    <cellStyle name="20% - Accent2 8 2 2 4" xfId="332" xr:uid="{00000000-0005-0000-0000-00004A010000}"/>
    <cellStyle name="20% - Accent2 8 2 3" xfId="333" xr:uid="{00000000-0005-0000-0000-00004B010000}"/>
    <cellStyle name="20% - Accent2 8 2 3 2" xfId="334" xr:uid="{00000000-0005-0000-0000-00004C010000}"/>
    <cellStyle name="20% - Accent2 8 2 4" xfId="335" xr:uid="{00000000-0005-0000-0000-00004D010000}"/>
    <cellStyle name="20% - Accent2 8 2 5" xfId="336" xr:uid="{00000000-0005-0000-0000-00004E010000}"/>
    <cellStyle name="20% - Accent2 8 3" xfId="337" xr:uid="{00000000-0005-0000-0000-00004F010000}"/>
    <cellStyle name="20% - Accent2 8 3 2" xfId="338" xr:uid="{00000000-0005-0000-0000-000050010000}"/>
    <cellStyle name="20% - Accent2 8 3 2 2" xfId="339" xr:uid="{00000000-0005-0000-0000-000051010000}"/>
    <cellStyle name="20% - Accent2 8 3 3" xfId="340" xr:uid="{00000000-0005-0000-0000-000052010000}"/>
    <cellStyle name="20% - Accent2 8 3 4" xfId="341" xr:uid="{00000000-0005-0000-0000-000053010000}"/>
    <cellStyle name="20% - Accent2 8 4" xfId="342" xr:uid="{00000000-0005-0000-0000-000054010000}"/>
    <cellStyle name="20% - Accent2 8 4 2" xfId="343" xr:uid="{00000000-0005-0000-0000-000055010000}"/>
    <cellStyle name="20% - Accent2 8 5" xfId="344" xr:uid="{00000000-0005-0000-0000-000056010000}"/>
    <cellStyle name="20% - Accent2 8 6" xfId="345" xr:uid="{00000000-0005-0000-0000-000057010000}"/>
    <cellStyle name="20% - Accent2 9" xfId="346" xr:uid="{00000000-0005-0000-0000-000058010000}"/>
    <cellStyle name="20% - Accent2 9 2" xfId="347" xr:uid="{00000000-0005-0000-0000-000059010000}"/>
    <cellStyle name="20% - Accent2 9 2 2" xfId="348" xr:uid="{00000000-0005-0000-0000-00005A010000}"/>
    <cellStyle name="20% - Accent2 9 2 2 2" xfId="349" xr:uid="{00000000-0005-0000-0000-00005B010000}"/>
    <cellStyle name="20% - Accent2 9 2 2 2 2" xfId="350" xr:uid="{00000000-0005-0000-0000-00005C010000}"/>
    <cellStyle name="20% - Accent2 9 2 2 3" xfId="351" xr:uid="{00000000-0005-0000-0000-00005D010000}"/>
    <cellStyle name="20% - Accent2 9 2 2 4" xfId="352" xr:uid="{00000000-0005-0000-0000-00005E010000}"/>
    <cellStyle name="20% - Accent2 9 2 3" xfId="353" xr:uid="{00000000-0005-0000-0000-00005F010000}"/>
    <cellStyle name="20% - Accent2 9 2 3 2" xfId="354" xr:uid="{00000000-0005-0000-0000-000060010000}"/>
    <cellStyle name="20% - Accent2 9 2 4" xfId="355" xr:uid="{00000000-0005-0000-0000-000061010000}"/>
    <cellStyle name="20% - Accent2 9 2 5" xfId="356" xr:uid="{00000000-0005-0000-0000-000062010000}"/>
    <cellStyle name="20% - Accent2 9 3" xfId="357" xr:uid="{00000000-0005-0000-0000-000063010000}"/>
    <cellStyle name="20% - Accent2 9 3 2" xfId="358" xr:uid="{00000000-0005-0000-0000-000064010000}"/>
    <cellStyle name="20% - Accent2 9 3 2 2" xfId="359" xr:uid="{00000000-0005-0000-0000-000065010000}"/>
    <cellStyle name="20% - Accent2 9 3 3" xfId="360" xr:uid="{00000000-0005-0000-0000-000066010000}"/>
    <cellStyle name="20% - Accent2 9 3 4" xfId="361" xr:uid="{00000000-0005-0000-0000-000067010000}"/>
    <cellStyle name="20% - Accent2 9 4" xfId="362" xr:uid="{00000000-0005-0000-0000-000068010000}"/>
    <cellStyle name="20% - Accent2 9 4 2" xfId="363" xr:uid="{00000000-0005-0000-0000-000069010000}"/>
    <cellStyle name="20% - Accent2 9 5" xfId="364" xr:uid="{00000000-0005-0000-0000-00006A010000}"/>
    <cellStyle name="20% - Accent2 9 6" xfId="365" xr:uid="{00000000-0005-0000-0000-00006B010000}"/>
    <cellStyle name="20% - Accent3 10" xfId="366" xr:uid="{00000000-0005-0000-0000-00006C010000}"/>
    <cellStyle name="20% - Accent3 10 2" xfId="367" xr:uid="{00000000-0005-0000-0000-00006D010000}"/>
    <cellStyle name="20% - Accent3 10 2 2" xfId="368" xr:uid="{00000000-0005-0000-0000-00006E010000}"/>
    <cellStyle name="20% - Accent3 10 2 2 2" xfId="369" xr:uid="{00000000-0005-0000-0000-00006F010000}"/>
    <cellStyle name="20% - Accent3 10 2 3" xfId="370" xr:uid="{00000000-0005-0000-0000-000070010000}"/>
    <cellStyle name="20% - Accent3 10 2 4" xfId="371" xr:uid="{00000000-0005-0000-0000-000071010000}"/>
    <cellStyle name="20% - Accent3 10 3" xfId="372" xr:uid="{00000000-0005-0000-0000-000072010000}"/>
    <cellStyle name="20% - Accent3 10 3 2" xfId="373" xr:uid="{00000000-0005-0000-0000-000073010000}"/>
    <cellStyle name="20% - Accent3 10 4" xfId="374" xr:uid="{00000000-0005-0000-0000-000074010000}"/>
    <cellStyle name="20% - Accent3 10 5" xfId="375" xr:uid="{00000000-0005-0000-0000-000075010000}"/>
    <cellStyle name="20% - Accent3 11" xfId="376" xr:uid="{00000000-0005-0000-0000-000076010000}"/>
    <cellStyle name="20% - Accent3 11 2" xfId="377" xr:uid="{00000000-0005-0000-0000-000077010000}"/>
    <cellStyle name="20% - Accent3 11 2 2" xfId="378" xr:uid="{00000000-0005-0000-0000-000078010000}"/>
    <cellStyle name="20% - Accent3 11 2 2 2" xfId="379" xr:uid="{00000000-0005-0000-0000-000079010000}"/>
    <cellStyle name="20% - Accent3 11 2 3" xfId="380" xr:uid="{00000000-0005-0000-0000-00007A010000}"/>
    <cellStyle name="20% - Accent3 11 2 4" xfId="381" xr:uid="{00000000-0005-0000-0000-00007B010000}"/>
    <cellStyle name="20% - Accent3 11 3" xfId="382" xr:uid="{00000000-0005-0000-0000-00007C010000}"/>
    <cellStyle name="20% - Accent3 11 3 2" xfId="383" xr:uid="{00000000-0005-0000-0000-00007D010000}"/>
    <cellStyle name="20% - Accent3 11 4" xfId="384" xr:uid="{00000000-0005-0000-0000-00007E010000}"/>
    <cellStyle name="20% - Accent3 11 5" xfId="385" xr:uid="{00000000-0005-0000-0000-00007F010000}"/>
    <cellStyle name="20% - Accent3 12" xfId="386" xr:uid="{00000000-0005-0000-0000-000080010000}"/>
    <cellStyle name="20% - Accent3 12 2" xfId="387" xr:uid="{00000000-0005-0000-0000-000081010000}"/>
    <cellStyle name="20% - Accent3 12 2 2" xfId="388" xr:uid="{00000000-0005-0000-0000-000082010000}"/>
    <cellStyle name="20% - Accent3 12 3" xfId="389" xr:uid="{00000000-0005-0000-0000-000083010000}"/>
    <cellStyle name="20% - Accent3 12 4" xfId="390" xr:uid="{00000000-0005-0000-0000-000084010000}"/>
    <cellStyle name="20% - Accent3 13" xfId="391" xr:uid="{00000000-0005-0000-0000-000085010000}"/>
    <cellStyle name="20% - Accent3 13 2" xfId="392" xr:uid="{00000000-0005-0000-0000-000086010000}"/>
    <cellStyle name="20% - Accent3 14" xfId="393" xr:uid="{00000000-0005-0000-0000-000087010000}"/>
    <cellStyle name="20% - Accent3 14 2" xfId="394" xr:uid="{00000000-0005-0000-0000-000088010000}"/>
    <cellStyle name="20% - Accent3 15" xfId="395" xr:uid="{00000000-0005-0000-0000-000089010000}"/>
    <cellStyle name="20% - Accent3 16" xfId="396" xr:uid="{00000000-0005-0000-0000-00008A010000}"/>
    <cellStyle name="20% - Accent3 2" xfId="397" xr:uid="{00000000-0005-0000-0000-00008B010000}"/>
    <cellStyle name="20% - Accent3 2 2" xfId="398" xr:uid="{00000000-0005-0000-0000-00008C010000}"/>
    <cellStyle name="20% - Accent3 2 2 2" xfId="399" xr:uid="{00000000-0005-0000-0000-00008D010000}"/>
    <cellStyle name="20% - Accent3 2 2 2 2" xfId="400" xr:uid="{00000000-0005-0000-0000-00008E010000}"/>
    <cellStyle name="20% - Accent3 2 2 2 2 2" xfId="401" xr:uid="{00000000-0005-0000-0000-00008F010000}"/>
    <cellStyle name="20% - Accent3 2 2 2 2 2 2" xfId="402" xr:uid="{00000000-0005-0000-0000-000090010000}"/>
    <cellStyle name="20% - Accent3 2 2 2 2 3" xfId="403" xr:uid="{00000000-0005-0000-0000-000091010000}"/>
    <cellStyle name="20% - Accent3 2 2 2 2 4" xfId="404" xr:uid="{00000000-0005-0000-0000-000092010000}"/>
    <cellStyle name="20% - Accent3 2 2 2 3" xfId="405" xr:uid="{00000000-0005-0000-0000-000093010000}"/>
    <cellStyle name="20% - Accent3 2 2 2 3 2" xfId="406" xr:uid="{00000000-0005-0000-0000-000094010000}"/>
    <cellStyle name="20% - Accent3 2 2 2 4" xfId="407" xr:uid="{00000000-0005-0000-0000-000095010000}"/>
    <cellStyle name="20% - Accent3 2 2 2 5" xfId="408" xr:uid="{00000000-0005-0000-0000-000096010000}"/>
    <cellStyle name="20% - Accent3 2 2 3" xfId="409" xr:uid="{00000000-0005-0000-0000-000097010000}"/>
    <cellStyle name="20% - Accent3 2 2 3 2" xfId="410" xr:uid="{00000000-0005-0000-0000-000098010000}"/>
    <cellStyle name="20% - Accent3 2 2 3 2 2" xfId="411" xr:uid="{00000000-0005-0000-0000-000099010000}"/>
    <cellStyle name="20% - Accent3 2 2 3 3" xfId="412" xr:uid="{00000000-0005-0000-0000-00009A010000}"/>
    <cellStyle name="20% - Accent3 2 2 3 4" xfId="413" xr:uid="{00000000-0005-0000-0000-00009B010000}"/>
    <cellStyle name="20% - Accent3 2 2 4" xfId="414" xr:uid="{00000000-0005-0000-0000-00009C010000}"/>
    <cellStyle name="20% - Accent3 2 2 4 2" xfId="415" xr:uid="{00000000-0005-0000-0000-00009D010000}"/>
    <cellStyle name="20% - Accent3 2 2 5" xfId="416" xr:uid="{00000000-0005-0000-0000-00009E010000}"/>
    <cellStyle name="20% - Accent3 2 2 5 2" xfId="417" xr:uid="{00000000-0005-0000-0000-00009F010000}"/>
    <cellStyle name="20% - Accent3 2 2 6" xfId="418" xr:uid="{00000000-0005-0000-0000-0000A0010000}"/>
    <cellStyle name="20% - Accent3 2 2 7" xfId="419" xr:uid="{00000000-0005-0000-0000-0000A1010000}"/>
    <cellStyle name="20% - Accent3 2 3" xfId="420" xr:uid="{00000000-0005-0000-0000-0000A2010000}"/>
    <cellStyle name="20% - Accent3 2 3 2" xfId="421" xr:uid="{00000000-0005-0000-0000-0000A3010000}"/>
    <cellStyle name="20% - Accent3 2 3 2 2" xfId="422" xr:uid="{00000000-0005-0000-0000-0000A4010000}"/>
    <cellStyle name="20% - Accent3 2 3 2 2 2" xfId="423" xr:uid="{00000000-0005-0000-0000-0000A5010000}"/>
    <cellStyle name="20% - Accent3 2 3 2 3" xfId="424" xr:uid="{00000000-0005-0000-0000-0000A6010000}"/>
    <cellStyle name="20% - Accent3 2 3 2 4" xfId="425" xr:uid="{00000000-0005-0000-0000-0000A7010000}"/>
    <cellStyle name="20% - Accent3 2 3 3" xfId="426" xr:uid="{00000000-0005-0000-0000-0000A8010000}"/>
    <cellStyle name="20% - Accent3 2 3 3 2" xfId="427" xr:uid="{00000000-0005-0000-0000-0000A9010000}"/>
    <cellStyle name="20% - Accent3 2 3 4" xfId="428" xr:uid="{00000000-0005-0000-0000-0000AA010000}"/>
    <cellStyle name="20% - Accent3 2 3 5" xfId="429" xr:uid="{00000000-0005-0000-0000-0000AB010000}"/>
    <cellStyle name="20% - Accent3 2 4" xfId="430" xr:uid="{00000000-0005-0000-0000-0000AC010000}"/>
    <cellStyle name="20% - Accent3 2 4 2" xfId="431" xr:uid="{00000000-0005-0000-0000-0000AD010000}"/>
    <cellStyle name="20% - Accent3 2 4 2 2" xfId="432" xr:uid="{00000000-0005-0000-0000-0000AE010000}"/>
    <cellStyle name="20% - Accent3 2 4 3" xfId="433" xr:uid="{00000000-0005-0000-0000-0000AF010000}"/>
    <cellStyle name="20% - Accent3 2 4 4" xfId="434" xr:uid="{00000000-0005-0000-0000-0000B0010000}"/>
    <cellStyle name="20% - Accent3 2 5" xfId="435" xr:uid="{00000000-0005-0000-0000-0000B1010000}"/>
    <cellStyle name="20% - Accent3 2 5 2" xfId="436" xr:uid="{00000000-0005-0000-0000-0000B2010000}"/>
    <cellStyle name="20% - Accent3 2 6" xfId="437" xr:uid="{00000000-0005-0000-0000-0000B3010000}"/>
    <cellStyle name="20% - Accent3 2 6 2" xfId="438" xr:uid="{00000000-0005-0000-0000-0000B4010000}"/>
    <cellStyle name="20% - Accent3 2 7" xfId="439" xr:uid="{00000000-0005-0000-0000-0000B5010000}"/>
    <cellStyle name="20% - Accent3 2 8" xfId="440" xr:uid="{00000000-0005-0000-0000-0000B6010000}"/>
    <cellStyle name="20% - Accent3 3" xfId="441" xr:uid="{00000000-0005-0000-0000-0000B7010000}"/>
    <cellStyle name="20% - Accent3 3 2" xfId="442" xr:uid="{00000000-0005-0000-0000-0000B8010000}"/>
    <cellStyle name="20% - Accent3 4" xfId="443" xr:uid="{00000000-0005-0000-0000-0000B9010000}"/>
    <cellStyle name="20% - Accent3 4 2" xfId="444" xr:uid="{00000000-0005-0000-0000-0000BA010000}"/>
    <cellStyle name="20% - Accent3 4 2 2" xfId="445" xr:uid="{00000000-0005-0000-0000-0000BB010000}"/>
    <cellStyle name="20% - Accent3 4 2 2 2" xfId="446" xr:uid="{00000000-0005-0000-0000-0000BC010000}"/>
    <cellStyle name="20% - Accent3 4 2 2 2 2" xfId="447" xr:uid="{00000000-0005-0000-0000-0000BD010000}"/>
    <cellStyle name="20% - Accent3 4 2 2 3" xfId="448" xr:uid="{00000000-0005-0000-0000-0000BE010000}"/>
    <cellStyle name="20% - Accent3 4 2 2 4" xfId="449" xr:uid="{00000000-0005-0000-0000-0000BF010000}"/>
    <cellStyle name="20% - Accent3 4 2 3" xfId="450" xr:uid="{00000000-0005-0000-0000-0000C0010000}"/>
    <cellStyle name="20% - Accent3 4 2 3 2" xfId="451" xr:uid="{00000000-0005-0000-0000-0000C1010000}"/>
    <cellStyle name="20% - Accent3 4 2 4" xfId="452" xr:uid="{00000000-0005-0000-0000-0000C2010000}"/>
    <cellStyle name="20% - Accent3 4 2 5" xfId="453" xr:uid="{00000000-0005-0000-0000-0000C3010000}"/>
    <cellStyle name="20% - Accent3 4 3" xfId="454" xr:uid="{00000000-0005-0000-0000-0000C4010000}"/>
    <cellStyle name="20% - Accent3 4 3 2" xfId="455" xr:uid="{00000000-0005-0000-0000-0000C5010000}"/>
    <cellStyle name="20% - Accent3 4 3 2 2" xfId="456" xr:uid="{00000000-0005-0000-0000-0000C6010000}"/>
    <cellStyle name="20% - Accent3 4 3 3" xfId="457" xr:uid="{00000000-0005-0000-0000-0000C7010000}"/>
    <cellStyle name="20% - Accent3 4 3 4" xfId="458" xr:uid="{00000000-0005-0000-0000-0000C8010000}"/>
    <cellStyle name="20% - Accent3 4 4" xfId="459" xr:uid="{00000000-0005-0000-0000-0000C9010000}"/>
    <cellStyle name="20% - Accent3 4 4 2" xfId="460" xr:uid="{00000000-0005-0000-0000-0000CA010000}"/>
    <cellStyle name="20% - Accent3 4 5" xfId="461" xr:uid="{00000000-0005-0000-0000-0000CB010000}"/>
    <cellStyle name="20% - Accent3 4 5 2" xfId="462" xr:uid="{00000000-0005-0000-0000-0000CC010000}"/>
    <cellStyle name="20% - Accent3 4 6" xfId="463" xr:uid="{00000000-0005-0000-0000-0000CD010000}"/>
    <cellStyle name="20% - Accent3 4 7" xfId="464" xr:uid="{00000000-0005-0000-0000-0000CE010000}"/>
    <cellStyle name="20% - Accent3 5" xfId="465" xr:uid="{00000000-0005-0000-0000-0000CF010000}"/>
    <cellStyle name="20% - Accent3 5 2" xfId="466" xr:uid="{00000000-0005-0000-0000-0000D0010000}"/>
    <cellStyle name="20% - Accent3 5 2 2" xfId="467" xr:uid="{00000000-0005-0000-0000-0000D1010000}"/>
    <cellStyle name="20% - Accent3 5 2 2 2" xfId="468" xr:uid="{00000000-0005-0000-0000-0000D2010000}"/>
    <cellStyle name="20% - Accent3 5 2 2 2 2" xfId="469" xr:uid="{00000000-0005-0000-0000-0000D3010000}"/>
    <cellStyle name="20% - Accent3 5 2 2 3" xfId="470" xr:uid="{00000000-0005-0000-0000-0000D4010000}"/>
    <cellStyle name="20% - Accent3 5 2 2 4" xfId="471" xr:uid="{00000000-0005-0000-0000-0000D5010000}"/>
    <cellStyle name="20% - Accent3 5 2 3" xfId="472" xr:uid="{00000000-0005-0000-0000-0000D6010000}"/>
    <cellStyle name="20% - Accent3 5 2 3 2" xfId="473" xr:uid="{00000000-0005-0000-0000-0000D7010000}"/>
    <cellStyle name="20% - Accent3 5 2 4" xfId="474" xr:uid="{00000000-0005-0000-0000-0000D8010000}"/>
    <cellStyle name="20% - Accent3 5 2 5" xfId="475" xr:uid="{00000000-0005-0000-0000-0000D9010000}"/>
    <cellStyle name="20% - Accent3 5 3" xfId="476" xr:uid="{00000000-0005-0000-0000-0000DA010000}"/>
    <cellStyle name="20% - Accent3 5 3 2" xfId="477" xr:uid="{00000000-0005-0000-0000-0000DB010000}"/>
    <cellStyle name="20% - Accent3 5 3 2 2" xfId="478" xr:uid="{00000000-0005-0000-0000-0000DC010000}"/>
    <cellStyle name="20% - Accent3 5 3 3" xfId="479" xr:uid="{00000000-0005-0000-0000-0000DD010000}"/>
    <cellStyle name="20% - Accent3 5 3 4" xfId="480" xr:uid="{00000000-0005-0000-0000-0000DE010000}"/>
    <cellStyle name="20% - Accent3 5 4" xfId="481" xr:uid="{00000000-0005-0000-0000-0000DF010000}"/>
    <cellStyle name="20% - Accent3 5 4 2" xfId="482" xr:uid="{00000000-0005-0000-0000-0000E0010000}"/>
    <cellStyle name="20% - Accent3 5 5" xfId="483" xr:uid="{00000000-0005-0000-0000-0000E1010000}"/>
    <cellStyle name="20% - Accent3 5 5 2" xfId="484" xr:uid="{00000000-0005-0000-0000-0000E2010000}"/>
    <cellStyle name="20% - Accent3 5 6" xfId="485" xr:uid="{00000000-0005-0000-0000-0000E3010000}"/>
    <cellStyle name="20% - Accent3 5 7" xfId="486" xr:uid="{00000000-0005-0000-0000-0000E4010000}"/>
    <cellStyle name="20% - Accent3 6" xfId="487" xr:uid="{00000000-0005-0000-0000-0000E5010000}"/>
    <cellStyle name="20% - Accent3 7" xfId="488" xr:uid="{00000000-0005-0000-0000-0000E6010000}"/>
    <cellStyle name="20% - Accent3 7 2" xfId="489" xr:uid="{00000000-0005-0000-0000-0000E7010000}"/>
    <cellStyle name="20% - Accent3 7 2 2" xfId="490" xr:uid="{00000000-0005-0000-0000-0000E8010000}"/>
    <cellStyle name="20% - Accent3 7 2 2 2" xfId="491" xr:uid="{00000000-0005-0000-0000-0000E9010000}"/>
    <cellStyle name="20% - Accent3 7 2 2 2 2" xfId="492" xr:uid="{00000000-0005-0000-0000-0000EA010000}"/>
    <cellStyle name="20% - Accent3 7 2 2 3" xfId="493" xr:uid="{00000000-0005-0000-0000-0000EB010000}"/>
    <cellStyle name="20% - Accent3 7 2 2 4" xfId="494" xr:uid="{00000000-0005-0000-0000-0000EC010000}"/>
    <cellStyle name="20% - Accent3 7 2 3" xfId="495" xr:uid="{00000000-0005-0000-0000-0000ED010000}"/>
    <cellStyle name="20% - Accent3 7 2 3 2" xfId="496" xr:uid="{00000000-0005-0000-0000-0000EE010000}"/>
    <cellStyle name="20% - Accent3 7 2 4" xfId="497" xr:uid="{00000000-0005-0000-0000-0000EF010000}"/>
    <cellStyle name="20% - Accent3 7 2 5" xfId="498" xr:uid="{00000000-0005-0000-0000-0000F0010000}"/>
    <cellStyle name="20% - Accent3 7 3" xfId="499" xr:uid="{00000000-0005-0000-0000-0000F1010000}"/>
    <cellStyle name="20% - Accent3 7 3 2" xfId="500" xr:uid="{00000000-0005-0000-0000-0000F2010000}"/>
    <cellStyle name="20% - Accent3 7 3 2 2" xfId="501" xr:uid="{00000000-0005-0000-0000-0000F3010000}"/>
    <cellStyle name="20% - Accent3 7 3 3" xfId="502" xr:uid="{00000000-0005-0000-0000-0000F4010000}"/>
    <cellStyle name="20% - Accent3 7 3 4" xfId="503" xr:uid="{00000000-0005-0000-0000-0000F5010000}"/>
    <cellStyle name="20% - Accent3 7 4" xfId="504" xr:uid="{00000000-0005-0000-0000-0000F6010000}"/>
    <cellStyle name="20% - Accent3 7 4 2" xfId="505" xr:uid="{00000000-0005-0000-0000-0000F7010000}"/>
    <cellStyle name="20% - Accent3 7 5" xfId="506" xr:uid="{00000000-0005-0000-0000-0000F8010000}"/>
    <cellStyle name="20% - Accent3 7 6" xfId="507" xr:uid="{00000000-0005-0000-0000-0000F9010000}"/>
    <cellStyle name="20% - Accent3 8" xfId="508" xr:uid="{00000000-0005-0000-0000-0000FA010000}"/>
    <cellStyle name="20% - Accent3 8 2" xfId="509" xr:uid="{00000000-0005-0000-0000-0000FB010000}"/>
    <cellStyle name="20% - Accent3 8 2 2" xfId="510" xr:uid="{00000000-0005-0000-0000-0000FC010000}"/>
    <cellStyle name="20% - Accent3 8 2 2 2" xfId="511" xr:uid="{00000000-0005-0000-0000-0000FD010000}"/>
    <cellStyle name="20% - Accent3 8 2 2 2 2" xfId="512" xr:uid="{00000000-0005-0000-0000-0000FE010000}"/>
    <cellStyle name="20% - Accent3 8 2 2 3" xfId="513" xr:uid="{00000000-0005-0000-0000-0000FF010000}"/>
    <cellStyle name="20% - Accent3 8 2 2 4" xfId="514" xr:uid="{00000000-0005-0000-0000-000000020000}"/>
    <cellStyle name="20% - Accent3 8 2 3" xfId="515" xr:uid="{00000000-0005-0000-0000-000001020000}"/>
    <cellStyle name="20% - Accent3 8 2 3 2" xfId="516" xr:uid="{00000000-0005-0000-0000-000002020000}"/>
    <cellStyle name="20% - Accent3 8 2 4" xfId="517" xr:uid="{00000000-0005-0000-0000-000003020000}"/>
    <cellStyle name="20% - Accent3 8 2 5" xfId="518" xr:uid="{00000000-0005-0000-0000-000004020000}"/>
    <cellStyle name="20% - Accent3 8 3" xfId="519" xr:uid="{00000000-0005-0000-0000-000005020000}"/>
    <cellStyle name="20% - Accent3 8 3 2" xfId="520" xr:uid="{00000000-0005-0000-0000-000006020000}"/>
    <cellStyle name="20% - Accent3 8 3 2 2" xfId="521" xr:uid="{00000000-0005-0000-0000-000007020000}"/>
    <cellStyle name="20% - Accent3 8 3 3" xfId="522" xr:uid="{00000000-0005-0000-0000-000008020000}"/>
    <cellStyle name="20% - Accent3 8 3 4" xfId="523" xr:uid="{00000000-0005-0000-0000-000009020000}"/>
    <cellStyle name="20% - Accent3 8 4" xfId="524" xr:uid="{00000000-0005-0000-0000-00000A020000}"/>
    <cellStyle name="20% - Accent3 8 4 2" xfId="525" xr:uid="{00000000-0005-0000-0000-00000B020000}"/>
    <cellStyle name="20% - Accent3 8 5" xfId="526" xr:uid="{00000000-0005-0000-0000-00000C020000}"/>
    <cellStyle name="20% - Accent3 8 6" xfId="527" xr:uid="{00000000-0005-0000-0000-00000D020000}"/>
    <cellStyle name="20% - Accent3 9" xfId="528" xr:uid="{00000000-0005-0000-0000-00000E020000}"/>
    <cellStyle name="20% - Accent3 9 2" xfId="529" xr:uid="{00000000-0005-0000-0000-00000F020000}"/>
    <cellStyle name="20% - Accent3 9 2 2" xfId="530" xr:uid="{00000000-0005-0000-0000-000010020000}"/>
    <cellStyle name="20% - Accent3 9 2 2 2" xfId="531" xr:uid="{00000000-0005-0000-0000-000011020000}"/>
    <cellStyle name="20% - Accent3 9 2 2 2 2" xfId="532" xr:uid="{00000000-0005-0000-0000-000012020000}"/>
    <cellStyle name="20% - Accent3 9 2 2 3" xfId="533" xr:uid="{00000000-0005-0000-0000-000013020000}"/>
    <cellStyle name="20% - Accent3 9 2 2 4" xfId="534" xr:uid="{00000000-0005-0000-0000-000014020000}"/>
    <cellStyle name="20% - Accent3 9 2 3" xfId="535" xr:uid="{00000000-0005-0000-0000-000015020000}"/>
    <cellStyle name="20% - Accent3 9 2 3 2" xfId="536" xr:uid="{00000000-0005-0000-0000-000016020000}"/>
    <cellStyle name="20% - Accent3 9 2 4" xfId="537" xr:uid="{00000000-0005-0000-0000-000017020000}"/>
    <cellStyle name="20% - Accent3 9 2 5" xfId="538" xr:uid="{00000000-0005-0000-0000-000018020000}"/>
    <cellStyle name="20% - Accent3 9 3" xfId="539" xr:uid="{00000000-0005-0000-0000-000019020000}"/>
    <cellStyle name="20% - Accent3 9 3 2" xfId="540" xr:uid="{00000000-0005-0000-0000-00001A020000}"/>
    <cellStyle name="20% - Accent3 9 3 2 2" xfId="541" xr:uid="{00000000-0005-0000-0000-00001B020000}"/>
    <cellStyle name="20% - Accent3 9 3 3" xfId="542" xr:uid="{00000000-0005-0000-0000-00001C020000}"/>
    <cellStyle name="20% - Accent3 9 3 4" xfId="543" xr:uid="{00000000-0005-0000-0000-00001D020000}"/>
    <cellStyle name="20% - Accent3 9 4" xfId="544" xr:uid="{00000000-0005-0000-0000-00001E020000}"/>
    <cellStyle name="20% - Accent3 9 4 2" xfId="545" xr:uid="{00000000-0005-0000-0000-00001F020000}"/>
    <cellStyle name="20% - Accent3 9 5" xfId="546" xr:uid="{00000000-0005-0000-0000-000020020000}"/>
    <cellStyle name="20% - Accent3 9 6" xfId="547" xr:uid="{00000000-0005-0000-0000-000021020000}"/>
    <cellStyle name="20% - Accent4 10" xfId="548" xr:uid="{00000000-0005-0000-0000-000022020000}"/>
    <cellStyle name="20% - Accent4 10 2" xfId="549" xr:uid="{00000000-0005-0000-0000-000023020000}"/>
    <cellStyle name="20% - Accent4 10 2 2" xfId="550" xr:uid="{00000000-0005-0000-0000-000024020000}"/>
    <cellStyle name="20% - Accent4 10 2 2 2" xfId="551" xr:uid="{00000000-0005-0000-0000-000025020000}"/>
    <cellStyle name="20% - Accent4 10 2 3" xfId="552" xr:uid="{00000000-0005-0000-0000-000026020000}"/>
    <cellStyle name="20% - Accent4 10 2 4" xfId="553" xr:uid="{00000000-0005-0000-0000-000027020000}"/>
    <cellStyle name="20% - Accent4 10 3" xfId="554" xr:uid="{00000000-0005-0000-0000-000028020000}"/>
    <cellStyle name="20% - Accent4 10 3 2" xfId="555" xr:uid="{00000000-0005-0000-0000-000029020000}"/>
    <cellStyle name="20% - Accent4 10 4" xfId="556" xr:uid="{00000000-0005-0000-0000-00002A020000}"/>
    <cellStyle name="20% - Accent4 10 5" xfId="557" xr:uid="{00000000-0005-0000-0000-00002B020000}"/>
    <cellStyle name="20% - Accent4 11" xfId="558" xr:uid="{00000000-0005-0000-0000-00002C020000}"/>
    <cellStyle name="20% - Accent4 11 2" xfId="559" xr:uid="{00000000-0005-0000-0000-00002D020000}"/>
    <cellStyle name="20% - Accent4 11 2 2" xfId="560" xr:uid="{00000000-0005-0000-0000-00002E020000}"/>
    <cellStyle name="20% - Accent4 11 2 2 2" xfId="561" xr:uid="{00000000-0005-0000-0000-00002F020000}"/>
    <cellStyle name="20% - Accent4 11 2 3" xfId="562" xr:uid="{00000000-0005-0000-0000-000030020000}"/>
    <cellStyle name="20% - Accent4 11 2 4" xfId="563" xr:uid="{00000000-0005-0000-0000-000031020000}"/>
    <cellStyle name="20% - Accent4 11 3" xfId="564" xr:uid="{00000000-0005-0000-0000-000032020000}"/>
    <cellStyle name="20% - Accent4 11 3 2" xfId="565" xr:uid="{00000000-0005-0000-0000-000033020000}"/>
    <cellStyle name="20% - Accent4 11 4" xfId="566" xr:uid="{00000000-0005-0000-0000-000034020000}"/>
    <cellStyle name="20% - Accent4 11 5" xfId="567" xr:uid="{00000000-0005-0000-0000-000035020000}"/>
    <cellStyle name="20% - Accent4 12" xfId="568" xr:uid="{00000000-0005-0000-0000-000036020000}"/>
    <cellStyle name="20% - Accent4 12 2" xfId="569" xr:uid="{00000000-0005-0000-0000-000037020000}"/>
    <cellStyle name="20% - Accent4 12 2 2" xfId="570" xr:uid="{00000000-0005-0000-0000-000038020000}"/>
    <cellStyle name="20% - Accent4 12 3" xfId="571" xr:uid="{00000000-0005-0000-0000-000039020000}"/>
    <cellStyle name="20% - Accent4 12 4" xfId="572" xr:uid="{00000000-0005-0000-0000-00003A020000}"/>
    <cellStyle name="20% - Accent4 13" xfId="573" xr:uid="{00000000-0005-0000-0000-00003B020000}"/>
    <cellStyle name="20% - Accent4 13 2" xfId="574" xr:uid="{00000000-0005-0000-0000-00003C020000}"/>
    <cellStyle name="20% - Accent4 14" xfId="575" xr:uid="{00000000-0005-0000-0000-00003D020000}"/>
    <cellStyle name="20% - Accent4 14 2" xfId="576" xr:uid="{00000000-0005-0000-0000-00003E020000}"/>
    <cellStyle name="20% - Accent4 15" xfId="577" xr:uid="{00000000-0005-0000-0000-00003F020000}"/>
    <cellStyle name="20% - Accent4 16" xfId="578" xr:uid="{00000000-0005-0000-0000-000040020000}"/>
    <cellStyle name="20% - Accent4 2" xfId="579" xr:uid="{00000000-0005-0000-0000-000041020000}"/>
    <cellStyle name="20% - Accent4 2 2" xfId="580" xr:uid="{00000000-0005-0000-0000-000042020000}"/>
    <cellStyle name="20% - Accent4 2 2 2" xfId="581" xr:uid="{00000000-0005-0000-0000-000043020000}"/>
    <cellStyle name="20% - Accent4 2 2 2 2" xfId="582" xr:uid="{00000000-0005-0000-0000-000044020000}"/>
    <cellStyle name="20% - Accent4 2 2 2 2 2" xfId="583" xr:uid="{00000000-0005-0000-0000-000045020000}"/>
    <cellStyle name="20% - Accent4 2 2 2 2 2 2" xfId="584" xr:uid="{00000000-0005-0000-0000-000046020000}"/>
    <cellStyle name="20% - Accent4 2 2 2 2 3" xfId="585" xr:uid="{00000000-0005-0000-0000-000047020000}"/>
    <cellStyle name="20% - Accent4 2 2 2 2 4" xfId="586" xr:uid="{00000000-0005-0000-0000-000048020000}"/>
    <cellStyle name="20% - Accent4 2 2 2 3" xfId="587" xr:uid="{00000000-0005-0000-0000-000049020000}"/>
    <cellStyle name="20% - Accent4 2 2 2 3 2" xfId="588" xr:uid="{00000000-0005-0000-0000-00004A020000}"/>
    <cellStyle name="20% - Accent4 2 2 2 4" xfId="589" xr:uid="{00000000-0005-0000-0000-00004B020000}"/>
    <cellStyle name="20% - Accent4 2 2 2 5" xfId="590" xr:uid="{00000000-0005-0000-0000-00004C020000}"/>
    <cellStyle name="20% - Accent4 2 2 3" xfId="591" xr:uid="{00000000-0005-0000-0000-00004D020000}"/>
    <cellStyle name="20% - Accent4 2 2 3 2" xfId="592" xr:uid="{00000000-0005-0000-0000-00004E020000}"/>
    <cellStyle name="20% - Accent4 2 2 3 2 2" xfId="593" xr:uid="{00000000-0005-0000-0000-00004F020000}"/>
    <cellStyle name="20% - Accent4 2 2 3 3" xfId="594" xr:uid="{00000000-0005-0000-0000-000050020000}"/>
    <cellStyle name="20% - Accent4 2 2 3 4" xfId="595" xr:uid="{00000000-0005-0000-0000-000051020000}"/>
    <cellStyle name="20% - Accent4 2 2 4" xfId="596" xr:uid="{00000000-0005-0000-0000-000052020000}"/>
    <cellStyle name="20% - Accent4 2 2 4 2" xfId="597" xr:uid="{00000000-0005-0000-0000-000053020000}"/>
    <cellStyle name="20% - Accent4 2 2 5" xfId="598" xr:uid="{00000000-0005-0000-0000-000054020000}"/>
    <cellStyle name="20% - Accent4 2 2 5 2" xfId="599" xr:uid="{00000000-0005-0000-0000-000055020000}"/>
    <cellStyle name="20% - Accent4 2 2 6" xfId="600" xr:uid="{00000000-0005-0000-0000-000056020000}"/>
    <cellStyle name="20% - Accent4 2 2 7" xfId="601" xr:uid="{00000000-0005-0000-0000-000057020000}"/>
    <cellStyle name="20% - Accent4 2 3" xfId="602" xr:uid="{00000000-0005-0000-0000-000058020000}"/>
    <cellStyle name="20% - Accent4 2 3 2" xfId="603" xr:uid="{00000000-0005-0000-0000-000059020000}"/>
    <cellStyle name="20% - Accent4 2 3 2 2" xfId="604" xr:uid="{00000000-0005-0000-0000-00005A020000}"/>
    <cellStyle name="20% - Accent4 2 3 2 2 2" xfId="605" xr:uid="{00000000-0005-0000-0000-00005B020000}"/>
    <cellStyle name="20% - Accent4 2 3 2 3" xfId="606" xr:uid="{00000000-0005-0000-0000-00005C020000}"/>
    <cellStyle name="20% - Accent4 2 3 2 4" xfId="607" xr:uid="{00000000-0005-0000-0000-00005D020000}"/>
    <cellStyle name="20% - Accent4 2 3 3" xfId="608" xr:uid="{00000000-0005-0000-0000-00005E020000}"/>
    <cellStyle name="20% - Accent4 2 3 3 2" xfId="609" xr:uid="{00000000-0005-0000-0000-00005F020000}"/>
    <cellStyle name="20% - Accent4 2 3 4" xfId="610" xr:uid="{00000000-0005-0000-0000-000060020000}"/>
    <cellStyle name="20% - Accent4 2 3 5" xfId="611" xr:uid="{00000000-0005-0000-0000-000061020000}"/>
    <cellStyle name="20% - Accent4 2 4" xfId="612" xr:uid="{00000000-0005-0000-0000-000062020000}"/>
    <cellStyle name="20% - Accent4 2 4 2" xfId="613" xr:uid="{00000000-0005-0000-0000-000063020000}"/>
    <cellStyle name="20% - Accent4 2 4 2 2" xfId="614" xr:uid="{00000000-0005-0000-0000-000064020000}"/>
    <cellStyle name="20% - Accent4 2 4 3" xfId="615" xr:uid="{00000000-0005-0000-0000-000065020000}"/>
    <cellStyle name="20% - Accent4 2 4 4" xfId="616" xr:uid="{00000000-0005-0000-0000-000066020000}"/>
    <cellStyle name="20% - Accent4 2 5" xfId="617" xr:uid="{00000000-0005-0000-0000-000067020000}"/>
    <cellStyle name="20% - Accent4 2 5 2" xfId="618" xr:uid="{00000000-0005-0000-0000-000068020000}"/>
    <cellStyle name="20% - Accent4 2 6" xfId="619" xr:uid="{00000000-0005-0000-0000-000069020000}"/>
    <cellStyle name="20% - Accent4 2 6 2" xfId="620" xr:uid="{00000000-0005-0000-0000-00006A020000}"/>
    <cellStyle name="20% - Accent4 2 7" xfId="621" xr:uid="{00000000-0005-0000-0000-00006B020000}"/>
    <cellStyle name="20% - Accent4 2 8" xfId="622" xr:uid="{00000000-0005-0000-0000-00006C020000}"/>
    <cellStyle name="20% - Accent4 3" xfId="623" xr:uid="{00000000-0005-0000-0000-00006D020000}"/>
    <cellStyle name="20% - Accent4 3 2" xfId="624" xr:uid="{00000000-0005-0000-0000-00006E020000}"/>
    <cellStyle name="20% - Accent4 4" xfId="625" xr:uid="{00000000-0005-0000-0000-00006F020000}"/>
    <cellStyle name="20% - Accent4 4 2" xfId="626" xr:uid="{00000000-0005-0000-0000-000070020000}"/>
    <cellStyle name="20% - Accent4 4 2 2" xfId="627" xr:uid="{00000000-0005-0000-0000-000071020000}"/>
    <cellStyle name="20% - Accent4 4 2 2 2" xfId="628" xr:uid="{00000000-0005-0000-0000-000072020000}"/>
    <cellStyle name="20% - Accent4 4 2 2 2 2" xfId="629" xr:uid="{00000000-0005-0000-0000-000073020000}"/>
    <cellStyle name="20% - Accent4 4 2 2 3" xfId="630" xr:uid="{00000000-0005-0000-0000-000074020000}"/>
    <cellStyle name="20% - Accent4 4 2 2 4" xfId="631" xr:uid="{00000000-0005-0000-0000-000075020000}"/>
    <cellStyle name="20% - Accent4 4 2 3" xfId="632" xr:uid="{00000000-0005-0000-0000-000076020000}"/>
    <cellStyle name="20% - Accent4 4 2 3 2" xfId="633" xr:uid="{00000000-0005-0000-0000-000077020000}"/>
    <cellStyle name="20% - Accent4 4 2 4" xfId="634" xr:uid="{00000000-0005-0000-0000-000078020000}"/>
    <cellStyle name="20% - Accent4 4 2 5" xfId="635" xr:uid="{00000000-0005-0000-0000-000079020000}"/>
    <cellStyle name="20% - Accent4 4 3" xfId="636" xr:uid="{00000000-0005-0000-0000-00007A020000}"/>
    <cellStyle name="20% - Accent4 4 3 2" xfId="637" xr:uid="{00000000-0005-0000-0000-00007B020000}"/>
    <cellStyle name="20% - Accent4 4 3 2 2" xfId="638" xr:uid="{00000000-0005-0000-0000-00007C020000}"/>
    <cellStyle name="20% - Accent4 4 3 3" xfId="639" xr:uid="{00000000-0005-0000-0000-00007D020000}"/>
    <cellStyle name="20% - Accent4 4 3 4" xfId="640" xr:uid="{00000000-0005-0000-0000-00007E020000}"/>
    <cellStyle name="20% - Accent4 4 4" xfId="641" xr:uid="{00000000-0005-0000-0000-00007F020000}"/>
    <cellStyle name="20% - Accent4 4 4 2" xfId="642" xr:uid="{00000000-0005-0000-0000-000080020000}"/>
    <cellStyle name="20% - Accent4 4 5" xfId="643" xr:uid="{00000000-0005-0000-0000-000081020000}"/>
    <cellStyle name="20% - Accent4 4 5 2" xfId="644" xr:uid="{00000000-0005-0000-0000-000082020000}"/>
    <cellStyle name="20% - Accent4 4 6" xfId="645" xr:uid="{00000000-0005-0000-0000-000083020000}"/>
    <cellStyle name="20% - Accent4 4 7" xfId="646" xr:uid="{00000000-0005-0000-0000-000084020000}"/>
    <cellStyle name="20% - Accent4 5" xfId="647" xr:uid="{00000000-0005-0000-0000-000085020000}"/>
    <cellStyle name="20% - Accent4 5 2" xfId="648" xr:uid="{00000000-0005-0000-0000-000086020000}"/>
    <cellStyle name="20% - Accent4 5 2 2" xfId="649" xr:uid="{00000000-0005-0000-0000-000087020000}"/>
    <cellStyle name="20% - Accent4 5 2 2 2" xfId="650" xr:uid="{00000000-0005-0000-0000-000088020000}"/>
    <cellStyle name="20% - Accent4 5 2 2 2 2" xfId="651" xr:uid="{00000000-0005-0000-0000-000089020000}"/>
    <cellStyle name="20% - Accent4 5 2 2 3" xfId="652" xr:uid="{00000000-0005-0000-0000-00008A020000}"/>
    <cellStyle name="20% - Accent4 5 2 2 4" xfId="653" xr:uid="{00000000-0005-0000-0000-00008B020000}"/>
    <cellStyle name="20% - Accent4 5 2 3" xfId="654" xr:uid="{00000000-0005-0000-0000-00008C020000}"/>
    <cellStyle name="20% - Accent4 5 2 3 2" xfId="655" xr:uid="{00000000-0005-0000-0000-00008D020000}"/>
    <cellStyle name="20% - Accent4 5 2 4" xfId="656" xr:uid="{00000000-0005-0000-0000-00008E020000}"/>
    <cellStyle name="20% - Accent4 5 2 5" xfId="657" xr:uid="{00000000-0005-0000-0000-00008F020000}"/>
    <cellStyle name="20% - Accent4 5 3" xfId="658" xr:uid="{00000000-0005-0000-0000-000090020000}"/>
    <cellStyle name="20% - Accent4 5 3 2" xfId="659" xr:uid="{00000000-0005-0000-0000-000091020000}"/>
    <cellStyle name="20% - Accent4 5 3 2 2" xfId="660" xr:uid="{00000000-0005-0000-0000-000092020000}"/>
    <cellStyle name="20% - Accent4 5 3 3" xfId="661" xr:uid="{00000000-0005-0000-0000-000093020000}"/>
    <cellStyle name="20% - Accent4 5 3 4" xfId="662" xr:uid="{00000000-0005-0000-0000-000094020000}"/>
    <cellStyle name="20% - Accent4 5 4" xfId="663" xr:uid="{00000000-0005-0000-0000-000095020000}"/>
    <cellStyle name="20% - Accent4 5 4 2" xfId="664" xr:uid="{00000000-0005-0000-0000-000096020000}"/>
    <cellStyle name="20% - Accent4 5 5" xfId="665" xr:uid="{00000000-0005-0000-0000-000097020000}"/>
    <cellStyle name="20% - Accent4 5 5 2" xfId="666" xr:uid="{00000000-0005-0000-0000-000098020000}"/>
    <cellStyle name="20% - Accent4 5 6" xfId="667" xr:uid="{00000000-0005-0000-0000-000099020000}"/>
    <cellStyle name="20% - Accent4 5 7" xfId="668" xr:uid="{00000000-0005-0000-0000-00009A020000}"/>
    <cellStyle name="20% - Accent4 6" xfId="669" xr:uid="{00000000-0005-0000-0000-00009B020000}"/>
    <cellStyle name="20% - Accent4 7" xfId="670" xr:uid="{00000000-0005-0000-0000-00009C020000}"/>
    <cellStyle name="20% - Accent4 7 2" xfId="671" xr:uid="{00000000-0005-0000-0000-00009D020000}"/>
    <cellStyle name="20% - Accent4 7 2 2" xfId="672" xr:uid="{00000000-0005-0000-0000-00009E020000}"/>
    <cellStyle name="20% - Accent4 7 2 2 2" xfId="673" xr:uid="{00000000-0005-0000-0000-00009F020000}"/>
    <cellStyle name="20% - Accent4 7 2 2 2 2" xfId="674" xr:uid="{00000000-0005-0000-0000-0000A0020000}"/>
    <cellStyle name="20% - Accent4 7 2 2 3" xfId="675" xr:uid="{00000000-0005-0000-0000-0000A1020000}"/>
    <cellStyle name="20% - Accent4 7 2 2 4" xfId="676" xr:uid="{00000000-0005-0000-0000-0000A2020000}"/>
    <cellStyle name="20% - Accent4 7 2 3" xfId="677" xr:uid="{00000000-0005-0000-0000-0000A3020000}"/>
    <cellStyle name="20% - Accent4 7 2 3 2" xfId="678" xr:uid="{00000000-0005-0000-0000-0000A4020000}"/>
    <cellStyle name="20% - Accent4 7 2 4" xfId="679" xr:uid="{00000000-0005-0000-0000-0000A5020000}"/>
    <cellStyle name="20% - Accent4 7 2 5" xfId="680" xr:uid="{00000000-0005-0000-0000-0000A6020000}"/>
    <cellStyle name="20% - Accent4 7 3" xfId="681" xr:uid="{00000000-0005-0000-0000-0000A7020000}"/>
    <cellStyle name="20% - Accent4 7 3 2" xfId="682" xr:uid="{00000000-0005-0000-0000-0000A8020000}"/>
    <cellStyle name="20% - Accent4 7 3 2 2" xfId="683" xr:uid="{00000000-0005-0000-0000-0000A9020000}"/>
    <cellStyle name="20% - Accent4 7 3 3" xfId="684" xr:uid="{00000000-0005-0000-0000-0000AA020000}"/>
    <cellStyle name="20% - Accent4 7 3 4" xfId="685" xr:uid="{00000000-0005-0000-0000-0000AB020000}"/>
    <cellStyle name="20% - Accent4 7 4" xfId="686" xr:uid="{00000000-0005-0000-0000-0000AC020000}"/>
    <cellStyle name="20% - Accent4 7 4 2" xfId="687" xr:uid="{00000000-0005-0000-0000-0000AD020000}"/>
    <cellStyle name="20% - Accent4 7 5" xfId="688" xr:uid="{00000000-0005-0000-0000-0000AE020000}"/>
    <cellStyle name="20% - Accent4 7 6" xfId="689" xr:uid="{00000000-0005-0000-0000-0000AF020000}"/>
    <cellStyle name="20% - Accent4 8" xfId="690" xr:uid="{00000000-0005-0000-0000-0000B0020000}"/>
    <cellStyle name="20% - Accent4 8 2" xfId="691" xr:uid="{00000000-0005-0000-0000-0000B1020000}"/>
    <cellStyle name="20% - Accent4 8 2 2" xfId="692" xr:uid="{00000000-0005-0000-0000-0000B2020000}"/>
    <cellStyle name="20% - Accent4 8 2 2 2" xfId="693" xr:uid="{00000000-0005-0000-0000-0000B3020000}"/>
    <cellStyle name="20% - Accent4 8 2 2 2 2" xfId="694" xr:uid="{00000000-0005-0000-0000-0000B4020000}"/>
    <cellStyle name="20% - Accent4 8 2 2 3" xfId="695" xr:uid="{00000000-0005-0000-0000-0000B5020000}"/>
    <cellStyle name="20% - Accent4 8 2 2 4" xfId="696" xr:uid="{00000000-0005-0000-0000-0000B6020000}"/>
    <cellStyle name="20% - Accent4 8 2 3" xfId="697" xr:uid="{00000000-0005-0000-0000-0000B7020000}"/>
    <cellStyle name="20% - Accent4 8 2 3 2" xfId="698" xr:uid="{00000000-0005-0000-0000-0000B8020000}"/>
    <cellStyle name="20% - Accent4 8 2 4" xfId="699" xr:uid="{00000000-0005-0000-0000-0000B9020000}"/>
    <cellStyle name="20% - Accent4 8 2 5" xfId="700" xr:uid="{00000000-0005-0000-0000-0000BA020000}"/>
    <cellStyle name="20% - Accent4 8 3" xfId="701" xr:uid="{00000000-0005-0000-0000-0000BB020000}"/>
    <cellStyle name="20% - Accent4 8 3 2" xfId="702" xr:uid="{00000000-0005-0000-0000-0000BC020000}"/>
    <cellStyle name="20% - Accent4 8 3 2 2" xfId="703" xr:uid="{00000000-0005-0000-0000-0000BD020000}"/>
    <cellStyle name="20% - Accent4 8 3 3" xfId="704" xr:uid="{00000000-0005-0000-0000-0000BE020000}"/>
    <cellStyle name="20% - Accent4 8 3 4" xfId="705" xr:uid="{00000000-0005-0000-0000-0000BF020000}"/>
    <cellStyle name="20% - Accent4 8 4" xfId="706" xr:uid="{00000000-0005-0000-0000-0000C0020000}"/>
    <cellStyle name="20% - Accent4 8 4 2" xfId="707" xr:uid="{00000000-0005-0000-0000-0000C1020000}"/>
    <cellStyle name="20% - Accent4 8 5" xfId="708" xr:uid="{00000000-0005-0000-0000-0000C2020000}"/>
    <cellStyle name="20% - Accent4 8 6" xfId="709" xr:uid="{00000000-0005-0000-0000-0000C3020000}"/>
    <cellStyle name="20% - Accent4 9" xfId="710" xr:uid="{00000000-0005-0000-0000-0000C4020000}"/>
    <cellStyle name="20% - Accent4 9 2" xfId="711" xr:uid="{00000000-0005-0000-0000-0000C5020000}"/>
    <cellStyle name="20% - Accent4 9 2 2" xfId="712" xr:uid="{00000000-0005-0000-0000-0000C6020000}"/>
    <cellStyle name="20% - Accent4 9 2 2 2" xfId="713" xr:uid="{00000000-0005-0000-0000-0000C7020000}"/>
    <cellStyle name="20% - Accent4 9 2 2 2 2" xfId="714" xr:uid="{00000000-0005-0000-0000-0000C8020000}"/>
    <cellStyle name="20% - Accent4 9 2 2 3" xfId="715" xr:uid="{00000000-0005-0000-0000-0000C9020000}"/>
    <cellStyle name="20% - Accent4 9 2 2 4" xfId="716" xr:uid="{00000000-0005-0000-0000-0000CA020000}"/>
    <cellStyle name="20% - Accent4 9 2 3" xfId="717" xr:uid="{00000000-0005-0000-0000-0000CB020000}"/>
    <cellStyle name="20% - Accent4 9 2 3 2" xfId="718" xr:uid="{00000000-0005-0000-0000-0000CC020000}"/>
    <cellStyle name="20% - Accent4 9 2 4" xfId="719" xr:uid="{00000000-0005-0000-0000-0000CD020000}"/>
    <cellStyle name="20% - Accent4 9 2 5" xfId="720" xr:uid="{00000000-0005-0000-0000-0000CE020000}"/>
    <cellStyle name="20% - Accent4 9 3" xfId="721" xr:uid="{00000000-0005-0000-0000-0000CF020000}"/>
    <cellStyle name="20% - Accent4 9 3 2" xfId="722" xr:uid="{00000000-0005-0000-0000-0000D0020000}"/>
    <cellStyle name="20% - Accent4 9 3 2 2" xfId="723" xr:uid="{00000000-0005-0000-0000-0000D1020000}"/>
    <cellStyle name="20% - Accent4 9 3 3" xfId="724" xr:uid="{00000000-0005-0000-0000-0000D2020000}"/>
    <cellStyle name="20% - Accent4 9 3 4" xfId="725" xr:uid="{00000000-0005-0000-0000-0000D3020000}"/>
    <cellStyle name="20% - Accent4 9 4" xfId="726" xr:uid="{00000000-0005-0000-0000-0000D4020000}"/>
    <cellStyle name="20% - Accent4 9 4 2" xfId="727" xr:uid="{00000000-0005-0000-0000-0000D5020000}"/>
    <cellStyle name="20% - Accent4 9 5" xfId="728" xr:uid="{00000000-0005-0000-0000-0000D6020000}"/>
    <cellStyle name="20% - Accent4 9 6" xfId="729" xr:uid="{00000000-0005-0000-0000-0000D7020000}"/>
    <cellStyle name="20% - Accent5 10" xfId="730" xr:uid="{00000000-0005-0000-0000-0000D8020000}"/>
    <cellStyle name="20% - Accent5 10 2" xfId="731" xr:uid="{00000000-0005-0000-0000-0000D9020000}"/>
    <cellStyle name="20% - Accent5 10 2 2" xfId="732" xr:uid="{00000000-0005-0000-0000-0000DA020000}"/>
    <cellStyle name="20% - Accent5 10 2 2 2" xfId="733" xr:uid="{00000000-0005-0000-0000-0000DB020000}"/>
    <cellStyle name="20% - Accent5 10 2 3" xfId="734" xr:uid="{00000000-0005-0000-0000-0000DC020000}"/>
    <cellStyle name="20% - Accent5 10 2 4" xfId="735" xr:uid="{00000000-0005-0000-0000-0000DD020000}"/>
    <cellStyle name="20% - Accent5 10 3" xfId="736" xr:uid="{00000000-0005-0000-0000-0000DE020000}"/>
    <cellStyle name="20% - Accent5 10 3 2" xfId="737" xr:uid="{00000000-0005-0000-0000-0000DF020000}"/>
    <cellStyle name="20% - Accent5 10 4" xfId="738" xr:uid="{00000000-0005-0000-0000-0000E0020000}"/>
    <cellStyle name="20% - Accent5 10 5" xfId="739" xr:uid="{00000000-0005-0000-0000-0000E1020000}"/>
    <cellStyle name="20% - Accent5 11" xfId="740" xr:uid="{00000000-0005-0000-0000-0000E2020000}"/>
    <cellStyle name="20% - Accent5 11 2" xfId="741" xr:uid="{00000000-0005-0000-0000-0000E3020000}"/>
    <cellStyle name="20% - Accent5 11 2 2" xfId="742" xr:uid="{00000000-0005-0000-0000-0000E4020000}"/>
    <cellStyle name="20% - Accent5 11 2 2 2" xfId="743" xr:uid="{00000000-0005-0000-0000-0000E5020000}"/>
    <cellStyle name="20% - Accent5 11 2 3" xfId="744" xr:uid="{00000000-0005-0000-0000-0000E6020000}"/>
    <cellStyle name="20% - Accent5 11 2 4" xfId="745" xr:uid="{00000000-0005-0000-0000-0000E7020000}"/>
    <cellStyle name="20% - Accent5 11 3" xfId="746" xr:uid="{00000000-0005-0000-0000-0000E8020000}"/>
    <cellStyle name="20% - Accent5 11 3 2" xfId="747" xr:uid="{00000000-0005-0000-0000-0000E9020000}"/>
    <cellStyle name="20% - Accent5 11 4" xfId="748" xr:uid="{00000000-0005-0000-0000-0000EA020000}"/>
    <cellStyle name="20% - Accent5 11 5" xfId="749" xr:uid="{00000000-0005-0000-0000-0000EB020000}"/>
    <cellStyle name="20% - Accent5 12" xfId="750" xr:uid="{00000000-0005-0000-0000-0000EC020000}"/>
    <cellStyle name="20% - Accent5 12 2" xfId="751" xr:uid="{00000000-0005-0000-0000-0000ED020000}"/>
    <cellStyle name="20% - Accent5 12 2 2" xfId="752" xr:uid="{00000000-0005-0000-0000-0000EE020000}"/>
    <cellStyle name="20% - Accent5 12 3" xfId="753" xr:uid="{00000000-0005-0000-0000-0000EF020000}"/>
    <cellStyle name="20% - Accent5 12 4" xfId="754" xr:uid="{00000000-0005-0000-0000-0000F0020000}"/>
    <cellStyle name="20% - Accent5 13" xfId="755" xr:uid="{00000000-0005-0000-0000-0000F1020000}"/>
    <cellStyle name="20% - Accent5 13 2" xfId="756" xr:uid="{00000000-0005-0000-0000-0000F2020000}"/>
    <cellStyle name="20% - Accent5 14" xfId="757" xr:uid="{00000000-0005-0000-0000-0000F3020000}"/>
    <cellStyle name="20% - Accent5 14 2" xfId="758" xr:uid="{00000000-0005-0000-0000-0000F4020000}"/>
    <cellStyle name="20% - Accent5 15" xfId="759" xr:uid="{00000000-0005-0000-0000-0000F5020000}"/>
    <cellStyle name="20% - Accent5 16" xfId="760" xr:uid="{00000000-0005-0000-0000-0000F6020000}"/>
    <cellStyle name="20% - Accent5 2" xfId="761" xr:uid="{00000000-0005-0000-0000-0000F7020000}"/>
    <cellStyle name="20% - Accent5 2 2" xfId="762" xr:uid="{00000000-0005-0000-0000-0000F8020000}"/>
    <cellStyle name="20% - Accent5 2 2 2" xfId="763" xr:uid="{00000000-0005-0000-0000-0000F9020000}"/>
    <cellStyle name="20% - Accent5 2 2 2 2" xfId="764" xr:uid="{00000000-0005-0000-0000-0000FA020000}"/>
    <cellStyle name="20% - Accent5 2 2 2 2 2" xfId="765" xr:uid="{00000000-0005-0000-0000-0000FB020000}"/>
    <cellStyle name="20% - Accent5 2 2 2 2 2 2" xfId="766" xr:uid="{00000000-0005-0000-0000-0000FC020000}"/>
    <cellStyle name="20% - Accent5 2 2 2 2 3" xfId="767" xr:uid="{00000000-0005-0000-0000-0000FD020000}"/>
    <cellStyle name="20% - Accent5 2 2 2 2 4" xfId="768" xr:uid="{00000000-0005-0000-0000-0000FE020000}"/>
    <cellStyle name="20% - Accent5 2 2 2 3" xfId="769" xr:uid="{00000000-0005-0000-0000-0000FF020000}"/>
    <cellStyle name="20% - Accent5 2 2 2 3 2" xfId="770" xr:uid="{00000000-0005-0000-0000-000000030000}"/>
    <cellStyle name="20% - Accent5 2 2 2 4" xfId="771" xr:uid="{00000000-0005-0000-0000-000001030000}"/>
    <cellStyle name="20% - Accent5 2 2 2 5" xfId="772" xr:uid="{00000000-0005-0000-0000-000002030000}"/>
    <cellStyle name="20% - Accent5 2 2 3" xfId="773" xr:uid="{00000000-0005-0000-0000-000003030000}"/>
    <cellStyle name="20% - Accent5 2 2 3 2" xfId="774" xr:uid="{00000000-0005-0000-0000-000004030000}"/>
    <cellStyle name="20% - Accent5 2 2 3 2 2" xfId="775" xr:uid="{00000000-0005-0000-0000-000005030000}"/>
    <cellStyle name="20% - Accent5 2 2 3 3" xfId="776" xr:uid="{00000000-0005-0000-0000-000006030000}"/>
    <cellStyle name="20% - Accent5 2 2 3 4" xfId="777" xr:uid="{00000000-0005-0000-0000-000007030000}"/>
    <cellStyle name="20% - Accent5 2 2 4" xfId="778" xr:uid="{00000000-0005-0000-0000-000008030000}"/>
    <cellStyle name="20% - Accent5 2 2 4 2" xfId="779" xr:uid="{00000000-0005-0000-0000-000009030000}"/>
    <cellStyle name="20% - Accent5 2 2 5" xfId="780" xr:uid="{00000000-0005-0000-0000-00000A030000}"/>
    <cellStyle name="20% - Accent5 2 2 5 2" xfId="781" xr:uid="{00000000-0005-0000-0000-00000B030000}"/>
    <cellStyle name="20% - Accent5 2 2 6" xfId="782" xr:uid="{00000000-0005-0000-0000-00000C030000}"/>
    <cellStyle name="20% - Accent5 2 2 7" xfId="783" xr:uid="{00000000-0005-0000-0000-00000D030000}"/>
    <cellStyle name="20% - Accent5 2 3" xfId="784" xr:uid="{00000000-0005-0000-0000-00000E030000}"/>
    <cellStyle name="20% - Accent5 2 3 2" xfId="785" xr:uid="{00000000-0005-0000-0000-00000F030000}"/>
    <cellStyle name="20% - Accent5 2 3 2 2" xfId="786" xr:uid="{00000000-0005-0000-0000-000010030000}"/>
    <cellStyle name="20% - Accent5 2 3 2 2 2" xfId="787" xr:uid="{00000000-0005-0000-0000-000011030000}"/>
    <cellStyle name="20% - Accent5 2 3 2 3" xfId="788" xr:uid="{00000000-0005-0000-0000-000012030000}"/>
    <cellStyle name="20% - Accent5 2 3 2 4" xfId="789" xr:uid="{00000000-0005-0000-0000-000013030000}"/>
    <cellStyle name="20% - Accent5 2 3 3" xfId="790" xr:uid="{00000000-0005-0000-0000-000014030000}"/>
    <cellStyle name="20% - Accent5 2 3 3 2" xfId="791" xr:uid="{00000000-0005-0000-0000-000015030000}"/>
    <cellStyle name="20% - Accent5 2 3 4" xfId="792" xr:uid="{00000000-0005-0000-0000-000016030000}"/>
    <cellStyle name="20% - Accent5 2 3 5" xfId="793" xr:uid="{00000000-0005-0000-0000-000017030000}"/>
    <cellStyle name="20% - Accent5 2 4" xfId="794" xr:uid="{00000000-0005-0000-0000-000018030000}"/>
    <cellStyle name="20% - Accent5 2 4 2" xfId="795" xr:uid="{00000000-0005-0000-0000-000019030000}"/>
    <cellStyle name="20% - Accent5 2 4 2 2" xfId="796" xr:uid="{00000000-0005-0000-0000-00001A030000}"/>
    <cellStyle name="20% - Accent5 2 4 3" xfId="797" xr:uid="{00000000-0005-0000-0000-00001B030000}"/>
    <cellStyle name="20% - Accent5 2 4 4" xfId="798" xr:uid="{00000000-0005-0000-0000-00001C030000}"/>
    <cellStyle name="20% - Accent5 2 5" xfId="799" xr:uid="{00000000-0005-0000-0000-00001D030000}"/>
    <cellStyle name="20% - Accent5 2 5 2" xfId="800" xr:uid="{00000000-0005-0000-0000-00001E030000}"/>
    <cellStyle name="20% - Accent5 2 6" xfId="801" xr:uid="{00000000-0005-0000-0000-00001F030000}"/>
    <cellStyle name="20% - Accent5 2 6 2" xfId="802" xr:uid="{00000000-0005-0000-0000-000020030000}"/>
    <cellStyle name="20% - Accent5 2 7" xfId="803" xr:uid="{00000000-0005-0000-0000-000021030000}"/>
    <cellStyle name="20% - Accent5 2 8" xfId="804" xr:uid="{00000000-0005-0000-0000-000022030000}"/>
    <cellStyle name="20% - Accent5 3" xfId="805" xr:uid="{00000000-0005-0000-0000-000023030000}"/>
    <cellStyle name="20% - Accent5 3 2" xfId="806" xr:uid="{00000000-0005-0000-0000-000024030000}"/>
    <cellStyle name="20% - Accent5 4" xfId="807" xr:uid="{00000000-0005-0000-0000-000025030000}"/>
    <cellStyle name="20% - Accent5 4 2" xfId="808" xr:uid="{00000000-0005-0000-0000-000026030000}"/>
    <cellStyle name="20% - Accent5 4 2 2" xfId="809" xr:uid="{00000000-0005-0000-0000-000027030000}"/>
    <cellStyle name="20% - Accent5 4 2 2 2" xfId="810" xr:uid="{00000000-0005-0000-0000-000028030000}"/>
    <cellStyle name="20% - Accent5 4 2 2 2 2" xfId="811" xr:uid="{00000000-0005-0000-0000-000029030000}"/>
    <cellStyle name="20% - Accent5 4 2 2 3" xfId="812" xr:uid="{00000000-0005-0000-0000-00002A030000}"/>
    <cellStyle name="20% - Accent5 4 2 2 4" xfId="813" xr:uid="{00000000-0005-0000-0000-00002B030000}"/>
    <cellStyle name="20% - Accent5 4 2 3" xfId="814" xr:uid="{00000000-0005-0000-0000-00002C030000}"/>
    <cellStyle name="20% - Accent5 4 2 3 2" xfId="815" xr:uid="{00000000-0005-0000-0000-00002D030000}"/>
    <cellStyle name="20% - Accent5 4 2 4" xfId="816" xr:uid="{00000000-0005-0000-0000-00002E030000}"/>
    <cellStyle name="20% - Accent5 4 2 5" xfId="817" xr:uid="{00000000-0005-0000-0000-00002F030000}"/>
    <cellStyle name="20% - Accent5 4 3" xfId="818" xr:uid="{00000000-0005-0000-0000-000030030000}"/>
    <cellStyle name="20% - Accent5 4 3 2" xfId="819" xr:uid="{00000000-0005-0000-0000-000031030000}"/>
    <cellStyle name="20% - Accent5 4 3 2 2" xfId="820" xr:uid="{00000000-0005-0000-0000-000032030000}"/>
    <cellStyle name="20% - Accent5 4 3 3" xfId="821" xr:uid="{00000000-0005-0000-0000-000033030000}"/>
    <cellStyle name="20% - Accent5 4 3 4" xfId="822" xr:uid="{00000000-0005-0000-0000-000034030000}"/>
    <cellStyle name="20% - Accent5 4 4" xfId="823" xr:uid="{00000000-0005-0000-0000-000035030000}"/>
    <cellStyle name="20% - Accent5 4 4 2" xfId="824" xr:uid="{00000000-0005-0000-0000-000036030000}"/>
    <cellStyle name="20% - Accent5 4 5" xfId="825" xr:uid="{00000000-0005-0000-0000-000037030000}"/>
    <cellStyle name="20% - Accent5 4 5 2" xfId="826" xr:uid="{00000000-0005-0000-0000-000038030000}"/>
    <cellStyle name="20% - Accent5 4 6" xfId="827" xr:uid="{00000000-0005-0000-0000-000039030000}"/>
    <cellStyle name="20% - Accent5 4 7" xfId="828" xr:uid="{00000000-0005-0000-0000-00003A030000}"/>
    <cellStyle name="20% - Accent5 5" xfId="829" xr:uid="{00000000-0005-0000-0000-00003B030000}"/>
    <cellStyle name="20% - Accent5 5 2" xfId="830" xr:uid="{00000000-0005-0000-0000-00003C030000}"/>
    <cellStyle name="20% - Accent5 5 2 2" xfId="831" xr:uid="{00000000-0005-0000-0000-00003D030000}"/>
    <cellStyle name="20% - Accent5 5 2 2 2" xfId="832" xr:uid="{00000000-0005-0000-0000-00003E030000}"/>
    <cellStyle name="20% - Accent5 5 2 2 2 2" xfId="833" xr:uid="{00000000-0005-0000-0000-00003F030000}"/>
    <cellStyle name="20% - Accent5 5 2 2 3" xfId="834" xr:uid="{00000000-0005-0000-0000-000040030000}"/>
    <cellStyle name="20% - Accent5 5 2 2 4" xfId="835" xr:uid="{00000000-0005-0000-0000-000041030000}"/>
    <cellStyle name="20% - Accent5 5 2 3" xfId="836" xr:uid="{00000000-0005-0000-0000-000042030000}"/>
    <cellStyle name="20% - Accent5 5 2 3 2" xfId="837" xr:uid="{00000000-0005-0000-0000-000043030000}"/>
    <cellStyle name="20% - Accent5 5 2 4" xfId="838" xr:uid="{00000000-0005-0000-0000-000044030000}"/>
    <cellStyle name="20% - Accent5 5 2 5" xfId="839" xr:uid="{00000000-0005-0000-0000-000045030000}"/>
    <cellStyle name="20% - Accent5 5 3" xfId="840" xr:uid="{00000000-0005-0000-0000-000046030000}"/>
    <cellStyle name="20% - Accent5 5 3 2" xfId="841" xr:uid="{00000000-0005-0000-0000-000047030000}"/>
    <cellStyle name="20% - Accent5 5 3 2 2" xfId="842" xr:uid="{00000000-0005-0000-0000-000048030000}"/>
    <cellStyle name="20% - Accent5 5 3 3" xfId="843" xr:uid="{00000000-0005-0000-0000-000049030000}"/>
    <cellStyle name="20% - Accent5 5 3 4" xfId="844" xr:uid="{00000000-0005-0000-0000-00004A030000}"/>
    <cellStyle name="20% - Accent5 5 4" xfId="845" xr:uid="{00000000-0005-0000-0000-00004B030000}"/>
    <cellStyle name="20% - Accent5 5 4 2" xfId="846" xr:uid="{00000000-0005-0000-0000-00004C030000}"/>
    <cellStyle name="20% - Accent5 5 5" xfId="847" xr:uid="{00000000-0005-0000-0000-00004D030000}"/>
    <cellStyle name="20% - Accent5 5 5 2" xfId="848" xr:uid="{00000000-0005-0000-0000-00004E030000}"/>
    <cellStyle name="20% - Accent5 5 6" xfId="849" xr:uid="{00000000-0005-0000-0000-00004F030000}"/>
    <cellStyle name="20% - Accent5 5 7" xfId="850" xr:uid="{00000000-0005-0000-0000-000050030000}"/>
    <cellStyle name="20% - Accent5 6" xfId="851" xr:uid="{00000000-0005-0000-0000-000051030000}"/>
    <cellStyle name="20% - Accent5 7" xfId="852" xr:uid="{00000000-0005-0000-0000-000052030000}"/>
    <cellStyle name="20% - Accent5 7 2" xfId="853" xr:uid="{00000000-0005-0000-0000-000053030000}"/>
    <cellStyle name="20% - Accent5 7 2 2" xfId="854" xr:uid="{00000000-0005-0000-0000-000054030000}"/>
    <cellStyle name="20% - Accent5 7 2 2 2" xfId="855" xr:uid="{00000000-0005-0000-0000-000055030000}"/>
    <cellStyle name="20% - Accent5 7 2 2 2 2" xfId="856" xr:uid="{00000000-0005-0000-0000-000056030000}"/>
    <cellStyle name="20% - Accent5 7 2 2 3" xfId="857" xr:uid="{00000000-0005-0000-0000-000057030000}"/>
    <cellStyle name="20% - Accent5 7 2 2 4" xfId="858" xr:uid="{00000000-0005-0000-0000-000058030000}"/>
    <cellStyle name="20% - Accent5 7 2 3" xfId="859" xr:uid="{00000000-0005-0000-0000-000059030000}"/>
    <cellStyle name="20% - Accent5 7 2 3 2" xfId="860" xr:uid="{00000000-0005-0000-0000-00005A030000}"/>
    <cellStyle name="20% - Accent5 7 2 4" xfId="861" xr:uid="{00000000-0005-0000-0000-00005B030000}"/>
    <cellStyle name="20% - Accent5 7 2 5" xfId="862" xr:uid="{00000000-0005-0000-0000-00005C030000}"/>
    <cellStyle name="20% - Accent5 7 3" xfId="863" xr:uid="{00000000-0005-0000-0000-00005D030000}"/>
    <cellStyle name="20% - Accent5 7 3 2" xfId="864" xr:uid="{00000000-0005-0000-0000-00005E030000}"/>
    <cellStyle name="20% - Accent5 7 3 2 2" xfId="865" xr:uid="{00000000-0005-0000-0000-00005F030000}"/>
    <cellStyle name="20% - Accent5 7 3 3" xfId="866" xr:uid="{00000000-0005-0000-0000-000060030000}"/>
    <cellStyle name="20% - Accent5 7 3 4" xfId="867" xr:uid="{00000000-0005-0000-0000-000061030000}"/>
    <cellStyle name="20% - Accent5 7 4" xfId="868" xr:uid="{00000000-0005-0000-0000-000062030000}"/>
    <cellStyle name="20% - Accent5 7 4 2" xfId="869" xr:uid="{00000000-0005-0000-0000-000063030000}"/>
    <cellStyle name="20% - Accent5 7 5" xfId="870" xr:uid="{00000000-0005-0000-0000-000064030000}"/>
    <cellStyle name="20% - Accent5 7 6" xfId="871" xr:uid="{00000000-0005-0000-0000-000065030000}"/>
    <cellStyle name="20% - Accent5 8" xfId="872" xr:uid="{00000000-0005-0000-0000-000066030000}"/>
    <cellStyle name="20% - Accent5 8 2" xfId="873" xr:uid="{00000000-0005-0000-0000-000067030000}"/>
    <cellStyle name="20% - Accent5 8 2 2" xfId="874" xr:uid="{00000000-0005-0000-0000-000068030000}"/>
    <cellStyle name="20% - Accent5 8 2 2 2" xfId="875" xr:uid="{00000000-0005-0000-0000-000069030000}"/>
    <cellStyle name="20% - Accent5 8 2 2 2 2" xfId="876" xr:uid="{00000000-0005-0000-0000-00006A030000}"/>
    <cellStyle name="20% - Accent5 8 2 2 3" xfId="877" xr:uid="{00000000-0005-0000-0000-00006B030000}"/>
    <cellStyle name="20% - Accent5 8 2 2 4" xfId="878" xr:uid="{00000000-0005-0000-0000-00006C030000}"/>
    <cellStyle name="20% - Accent5 8 2 3" xfId="879" xr:uid="{00000000-0005-0000-0000-00006D030000}"/>
    <cellStyle name="20% - Accent5 8 2 3 2" xfId="880" xr:uid="{00000000-0005-0000-0000-00006E030000}"/>
    <cellStyle name="20% - Accent5 8 2 4" xfId="881" xr:uid="{00000000-0005-0000-0000-00006F030000}"/>
    <cellStyle name="20% - Accent5 8 2 5" xfId="882" xr:uid="{00000000-0005-0000-0000-000070030000}"/>
    <cellStyle name="20% - Accent5 8 3" xfId="883" xr:uid="{00000000-0005-0000-0000-000071030000}"/>
    <cellStyle name="20% - Accent5 8 3 2" xfId="884" xr:uid="{00000000-0005-0000-0000-000072030000}"/>
    <cellStyle name="20% - Accent5 8 3 2 2" xfId="885" xr:uid="{00000000-0005-0000-0000-000073030000}"/>
    <cellStyle name="20% - Accent5 8 3 3" xfId="886" xr:uid="{00000000-0005-0000-0000-000074030000}"/>
    <cellStyle name="20% - Accent5 8 3 4" xfId="887" xr:uid="{00000000-0005-0000-0000-000075030000}"/>
    <cellStyle name="20% - Accent5 8 4" xfId="888" xr:uid="{00000000-0005-0000-0000-000076030000}"/>
    <cellStyle name="20% - Accent5 8 4 2" xfId="889" xr:uid="{00000000-0005-0000-0000-000077030000}"/>
    <cellStyle name="20% - Accent5 8 5" xfId="890" xr:uid="{00000000-0005-0000-0000-000078030000}"/>
    <cellStyle name="20% - Accent5 8 6" xfId="891" xr:uid="{00000000-0005-0000-0000-000079030000}"/>
    <cellStyle name="20% - Accent5 9" xfId="892" xr:uid="{00000000-0005-0000-0000-00007A030000}"/>
    <cellStyle name="20% - Accent5 9 2" xfId="893" xr:uid="{00000000-0005-0000-0000-00007B030000}"/>
    <cellStyle name="20% - Accent5 9 2 2" xfId="894" xr:uid="{00000000-0005-0000-0000-00007C030000}"/>
    <cellStyle name="20% - Accent5 9 2 2 2" xfId="895" xr:uid="{00000000-0005-0000-0000-00007D030000}"/>
    <cellStyle name="20% - Accent5 9 2 2 2 2" xfId="896" xr:uid="{00000000-0005-0000-0000-00007E030000}"/>
    <cellStyle name="20% - Accent5 9 2 2 3" xfId="897" xr:uid="{00000000-0005-0000-0000-00007F030000}"/>
    <cellStyle name="20% - Accent5 9 2 2 4" xfId="898" xr:uid="{00000000-0005-0000-0000-000080030000}"/>
    <cellStyle name="20% - Accent5 9 2 3" xfId="899" xr:uid="{00000000-0005-0000-0000-000081030000}"/>
    <cellStyle name="20% - Accent5 9 2 3 2" xfId="900" xr:uid="{00000000-0005-0000-0000-000082030000}"/>
    <cellStyle name="20% - Accent5 9 2 4" xfId="901" xr:uid="{00000000-0005-0000-0000-000083030000}"/>
    <cellStyle name="20% - Accent5 9 2 5" xfId="902" xr:uid="{00000000-0005-0000-0000-000084030000}"/>
    <cellStyle name="20% - Accent5 9 3" xfId="903" xr:uid="{00000000-0005-0000-0000-000085030000}"/>
    <cellStyle name="20% - Accent5 9 3 2" xfId="904" xr:uid="{00000000-0005-0000-0000-000086030000}"/>
    <cellStyle name="20% - Accent5 9 3 2 2" xfId="905" xr:uid="{00000000-0005-0000-0000-000087030000}"/>
    <cellStyle name="20% - Accent5 9 3 3" xfId="906" xr:uid="{00000000-0005-0000-0000-000088030000}"/>
    <cellStyle name="20% - Accent5 9 3 4" xfId="907" xr:uid="{00000000-0005-0000-0000-000089030000}"/>
    <cellStyle name="20% - Accent5 9 4" xfId="908" xr:uid="{00000000-0005-0000-0000-00008A030000}"/>
    <cellStyle name="20% - Accent5 9 4 2" xfId="909" xr:uid="{00000000-0005-0000-0000-00008B030000}"/>
    <cellStyle name="20% - Accent5 9 5" xfId="910" xr:uid="{00000000-0005-0000-0000-00008C030000}"/>
    <cellStyle name="20% - Accent5 9 6" xfId="911" xr:uid="{00000000-0005-0000-0000-00008D030000}"/>
    <cellStyle name="20% - Accent6 10" xfId="912" xr:uid="{00000000-0005-0000-0000-00008E030000}"/>
    <cellStyle name="20% - Accent6 10 2" xfId="913" xr:uid="{00000000-0005-0000-0000-00008F030000}"/>
    <cellStyle name="20% - Accent6 10 2 2" xfId="914" xr:uid="{00000000-0005-0000-0000-000090030000}"/>
    <cellStyle name="20% - Accent6 10 2 2 2" xfId="915" xr:uid="{00000000-0005-0000-0000-000091030000}"/>
    <cellStyle name="20% - Accent6 10 2 3" xfId="916" xr:uid="{00000000-0005-0000-0000-000092030000}"/>
    <cellStyle name="20% - Accent6 10 2 4" xfId="917" xr:uid="{00000000-0005-0000-0000-000093030000}"/>
    <cellStyle name="20% - Accent6 10 3" xfId="918" xr:uid="{00000000-0005-0000-0000-000094030000}"/>
    <cellStyle name="20% - Accent6 10 3 2" xfId="919" xr:uid="{00000000-0005-0000-0000-000095030000}"/>
    <cellStyle name="20% - Accent6 10 4" xfId="920" xr:uid="{00000000-0005-0000-0000-000096030000}"/>
    <cellStyle name="20% - Accent6 10 5" xfId="921" xr:uid="{00000000-0005-0000-0000-000097030000}"/>
    <cellStyle name="20% - Accent6 11" xfId="922" xr:uid="{00000000-0005-0000-0000-000098030000}"/>
    <cellStyle name="20% - Accent6 11 2" xfId="923" xr:uid="{00000000-0005-0000-0000-000099030000}"/>
    <cellStyle name="20% - Accent6 11 2 2" xfId="924" xr:uid="{00000000-0005-0000-0000-00009A030000}"/>
    <cellStyle name="20% - Accent6 11 2 2 2" xfId="925" xr:uid="{00000000-0005-0000-0000-00009B030000}"/>
    <cellStyle name="20% - Accent6 11 2 3" xfId="926" xr:uid="{00000000-0005-0000-0000-00009C030000}"/>
    <cellStyle name="20% - Accent6 11 2 4" xfId="927" xr:uid="{00000000-0005-0000-0000-00009D030000}"/>
    <cellStyle name="20% - Accent6 11 3" xfId="928" xr:uid="{00000000-0005-0000-0000-00009E030000}"/>
    <cellStyle name="20% - Accent6 11 3 2" xfId="929" xr:uid="{00000000-0005-0000-0000-00009F030000}"/>
    <cellStyle name="20% - Accent6 11 4" xfId="930" xr:uid="{00000000-0005-0000-0000-0000A0030000}"/>
    <cellStyle name="20% - Accent6 11 5" xfId="931" xr:uid="{00000000-0005-0000-0000-0000A1030000}"/>
    <cellStyle name="20% - Accent6 12" xfId="932" xr:uid="{00000000-0005-0000-0000-0000A2030000}"/>
    <cellStyle name="20% - Accent6 12 2" xfId="933" xr:uid="{00000000-0005-0000-0000-0000A3030000}"/>
    <cellStyle name="20% - Accent6 12 2 2" xfId="934" xr:uid="{00000000-0005-0000-0000-0000A4030000}"/>
    <cellStyle name="20% - Accent6 12 3" xfId="935" xr:uid="{00000000-0005-0000-0000-0000A5030000}"/>
    <cellStyle name="20% - Accent6 12 4" xfId="936" xr:uid="{00000000-0005-0000-0000-0000A6030000}"/>
    <cellStyle name="20% - Accent6 13" xfId="937" xr:uid="{00000000-0005-0000-0000-0000A7030000}"/>
    <cellStyle name="20% - Accent6 13 2" xfId="938" xr:uid="{00000000-0005-0000-0000-0000A8030000}"/>
    <cellStyle name="20% - Accent6 14" xfId="939" xr:uid="{00000000-0005-0000-0000-0000A9030000}"/>
    <cellStyle name="20% - Accent6 14 2" xfId="940" xr:uid="{00000000-0005-0000-0000-0000AA030000}"/>
    <cellStyle name="20% - Accent6 15" xfId="941" xr:uid="{00000000-0005-0000-0000-0000AB030000}"/>
    <cellStyle name="20% - Accent6 16" xfId="942" xr:uid="{00000000-0005-0000-0000-0000AC030000}"/>
    <cellStyle name="20% - Accent6 2" xfId="943" xr:uid="{00000000-0005-0000-0000-0000AD030000}"/>
    <cellStyle name="20% - Accent6 2 2" xfId="944" xr:uid="{00000000-0005-0000-0000-0000AE030000}"/>
    <cellStyle name="20% - Accent6 2 2 2" xfId="945" xr:uid="{00000000-0005-0000-0000-0000AF030000}"/>
    <cellStyle name="20% - Accent6 2 2 2 2" xfId="946" xr:uid="{00000000-0005-0000-0000-0000B0030000}"/>
    <cellStyle name="20% - Accent6 2 2 2 2 2" xfId="947" xr:uid="{00000000-0005-0000-0000-0000B1030000}"/>
    <cellStyle name="20% - Accent6 2 2 2 2 2 2" xfId="948" xr:uid="{00000000-0005-0000-0000-0000B2030000}"/>
    <cellStyle name="20% - Accent6 2 2 2 2 3" xfId="949" xr:uid="{00000000-0005-0000-0000-0000B3030000}"/>
    <cellStyle name="20% - Accent6 2 2 2 2 4" xfId="950" xr:uid="{00000000-0005-0000-0000-0000B4030000}"/>
    <cellStyle name="20% - Accent6 2 2 2 3" xfId="951" xr:uid="{00000000-0005-0000-0000-0000B5030000}"/>
    <cellStyle name="20% - Accent6 2 2 2 3 2" xfId="952" xr:uid="{00000000-0005-0000-0000-0000B6030000}"/>
    <cellStyle name="20% - Accent6 2 2 2 4" xfId="953" xr:uid="{00000000-0005-0000-0000-0000B7030000}"/>
    <cellStyle name="20% - Accent6 2 2 2 5" xfId="954" xr:uid="{00000000-0005-0000-0000-0000B8030000}"/>
    <cellStyle name="20% - Accent6 2 2 3" xfId="955" xr:uid="{00000000-0005-0000-0000-0000B9030000}"/>
    <cellStyle name="20% - Accent6 2 2 3 2" xfId="956" xr:uid="{00000000-0005-0000-0000-0000BA030000}"/>
    <cellStyle name="20% - Accent6 2 2 3 2 2" xfId="957" xr:uid="{00000000-0005-0000-0000-0000BB030000}"/>
    <cellStyle name="20% - Accent6 2 2 3 3" xfId="958" xr:uid="{00000000-0005-0000-0000-0000BC030000}"/>
    <cellStyle name="20% - Accent6 2 2 3 4" xfId="959" xr:uid="{00000000-0005-0000-0000-0000BD030000}"/>
    <cellStyle name="20% - Accent6 2 2 4" xfId="960" xr:uid="{00000000-0005-0000-0000-0000BE030000}"/>
    <cellStyle name="20% - Accent6 2 2 4 2" xfId="961" xr:uid="{00000000-0005-0000-0000-0000BF030000}"/>
    <cellStyle name="20% - Accent6 2 2 5" xfId="962" xr:uid="{00000000-0005-0000-0000-0000C0030000}"/>
    <cellStyle name="20% - Accent6 2 2 5 2" xfId="963" xr:uid="{00000000-0005-0000-0000-0000C1030000}"/>
    <cellStyle name="20% - Accent6 2 2 6" xfId="964" xr:uid="{00000000-0005-0000-0000-0000C2030000}"/>
    <cellStyle name="20% - Accent6 2 2 7" xfId="965" xr:uid="{00000000-0005-0000-0000-0000C3030000}"/>
    <cellStyle name="20% - Accent6 2 3" xfId="966" xr:uid="{00000000-0005-0000-0000-0000C4030000}"/>
    <cellStyle name="20% - Accent6 2 3 2" xfId="967" xr:uid="{00000000-0005-0000-0000-0000C5030000}"/>
    <cellStyle name="20% - Accent6 2 3 2 2" xfId="968" xr:uid="{00000000-0005-0000-0000-0000C6030000}"/>
    <cellStyle name="20% - Accent6 2 3 2 2 2" xfId="969" xr:uid="{00000000-0005-0000-0000-0000C7030000}"/>
    <cellStyle name="20% - Accent6 2 3 2 3" xfId="970" xr:uid="{00000000-0005-0000-0000-0000C8030000}"/>
    <cellStyle name="20% - Accent6 2 3 2 4" xfId="971" xr:uid="{00000000-0005-0000-0000-0000C9030000}"/>
    <cellStyle name="20% - Accent6 2 3 3" xfId="972" xr:uid="{00000000-0005-0000-0000-0000CA030000}"/>
    <cellStyle name="20% - Accent6 2 3 3 2" xfId="973" xr:uid="{00000000-0005-0000-0000-0000CB030000}"/>
    <cellStyle name="20% - Accent6 2 3 4" xfId="974" xr:uid="{00000000-0005-0000-0000-0000CC030000}"/>
    <cellStyle name="20% - Accent6 2 3 5" xfId="975" xr:uid="{00000000-0005-0000-0000-0000CD030000}"/>
    <cellStyle name="20% - Accent6 2 4" xfId="976" xr:uid="{00000000-0005-0000-0000-0000CE030000}"/>
    <cellStyle name="20% - Accent6 2 4 2" xfId="977" xr:uid="{00000000-0005-0000-0000-0000CF030000}"/>
    <cellStyle name="20% - Accent6 2 4 2 2" xfId="978" xr:uid="{00000000-0005-0000-0000-0000D0030000}"/>
    <cellStyle name="20% - Accent6 2 4 3" xfId="979" xr:uid="{00000000-0005-0000-0000-0000D1030000}"/>
    <cellStyle name="20% - Accent6 2 4 4" xfId="980" xr:uid="{00000000-0005-0000-0000-0000D2030000}"/>
    <cellStyle name="20% - Accent6 2 5" xfId="981" xr:uid="{00000000-0005-0000-0000-0000D3030000}"/>
    <cellStyle name="20% - Accent6 2 5 2" xfId="982" xr:uid="{00000000-0005-0000-0000-0000D4030000}"/>
    <cellStyle name="20% - Accent6 2 6" xfId="983" xr:uid="{00000000-0005-0000-0000-0000D5030000}"/>
    <cellStyle name="20% - Accent6 2 6 2" xfId="984" xr:uid="{00000000-0005-0000-0000-0000D6030000}"/>
    <cellStyle name="20% - Accent6 2 7" xfId="985" xr:uid="{00000000-0005-0000-0000-0000D7030000}"/>
    <cellStyle name="20% - Accent6 2 8" xfId="986" xr:uid="{00000000-0005-0000-0000-0000D8030000}"/>
    <cellStyle name="20% - Accent6 3" xfId="987" xr:uid="{00000000-0005-0000-0000-0000D9030000}"/>
    <cellStyle name="20% - Accent6 3 2" xfId="988" xr:uid="{00000000-0005-0000-0000-0000DA030000}"/>
    <cellStyle name="20% - Accent6 4" xfId="989" xr:uid="{00000000-0005-0000-0000-0000DB030000}"/>
    <cellStyle name="20% - Accent6 4 2" xfId="990" xr:uid="{00000000-0005-0000-0000-0000DC030000}"/>
    <cellStyle name="20% - Accent6 4 2 2" xfId="991" xr:uid="{00000000-0005-0000-0000-0000DD030000}"/>
    <cellStyle name="20% - Accent6 4 2 2 2" xfId="992" xr:uid="{00000000-0005-0000-0000-0000DE030000}"/>
    <cellStyle name="20% - Accent6 4 2 2 2 2" xfId="993" xr:uid="{00000000-0005-0000-0000-0000DF030000}"/>
    <cellStyle name="20% - Accent6 4 2 2 3" xfId="994" xr:uid="{00000000-0005-0000-0000-0000E0030000}"/>
    <cellStyle name="20% - Accent6 4 2 2 4" xfId="995" xr:uid="{00000000-0005-0000-0000-0000E1030000}"/>
    <cellStyle name="20% - Accent6 4 2 3" xfId="996" xr:uid="{00000000-0005-0000-0000-0000E2030000}"/>
    <cellStyle name="20% - Accent6 4 2 3 2" xfId="997" xr:uid="{00000000-0005-0000-0000-0000E3030000}"/>
    <cellStyle name="20% - Accent6 4 2 4" xfId="998" xr:uid="{00000000-0005-0000-0000-0000E4030000}"/>
    <cellStyle name="20% - Accent6 4 2 5" xfId="999" xr:uid="{00000000-0005-0000-0000-0000E5030000}"/>
    <cellStyle name="20% - Accent6 4 3" xfId="1000" xr:uid="{00000000-0005-0000-0000-0000E6030000}"/>
    <cellStyle name="20% - Accent6 4 3 2" xfId="1001" xr:uid="{00000000-0005-0000-0000-0000E7030000}"/>
    <cellStyle name="20% - Accent6 4 3 2 2" xfId="1002" xr:uid="{00000000-0005-0000-0000-0000E8030000}"/>
    <cellStyle name="20% - Accent6 4 3 3" xfId="1003" xr:uid="{00000000-0005-0000-0000-0000E9030000}"/>
    <cellStyle name="20% - Accent6 4 3 4" xfId="1004" xr:uid="{00000000-0005-0000-0000-0000EA030000}"/>
    <cellStyle name="20% - Accent6 4 4" xfId="1005" xr:uid="{00000000-0005-0000-0000-0000EB030000}"/>
    <cellStyle name="20% - Accent6 4 4 2" xfId="1006" xr:uid="{00000000-0005-0000-0000-0000EC030000}"/>
    <cellStyle name="20% - Accent6 4 5" xfId="1007" xr:uid="{00000000-0005-0000-0000-0000ED030000}"/>
    <cellStyle name="20% - Accent6 4 5 2" xfId="1008" xr:uid="{00000000-0005-0000-0000-0000EE030000}"/>
    <cellStyle name="20% - Accent6 4 6" xfId="1009" xr:uid="{00000000-0005-0000-0000-0000EF030000}"/>
    <cellStyle name="20% - Accent6 4 7" xfId="1010" xr:uid="{00000000-0005-0000-0000-0000F0030000}"/>
    <cellStyle name="20% - Accent6 5" xfId="1011" xr:uid="{00000000-0005-0000-0000-0000F1030000}"/>
    <cellStyle name="20% - Accent6 5 2" xfId="1012" xr:uid="{00000000-0005-0000-0000-0000F2030000}"/>
    <cellStyle name="20% - Accent6 5 2 2" xfId="1013" xr:uid="{00000000-0005-0000-0000-0000F3030000}"/>
    <cellStyle name="20% - Accent6 5 2 2 2" xfId="1014" xr:uid="{00000000-0005-0000-0000-0000F4030000}"/>
    <cellStyle name="20% - Accent6 5 2 2 2 2" xfId="1015" xr:uid="{00000000-0005-0000-0000-0000F5030000}"/>
    <cellStyle name="20% - Accent6 5 2 2 3" xfId="1016" xr:uid="{00000000-0005-0000-0000-0000F6030000}"/>
    <cellStyle name="20% - Accent6 5 2 2 4" xfId="1017" xr:uid="{00000000-0005-0000-0000-0000F7030000}"/>
    <cellStyle name="20% - Accent6 5 2 3" xfId="1018" xr:uid="{00000000-0005-0000-0000-0000F8030000}"/>
    <cellStyle name="20% - Accent6 5 2 3 2" xfId="1019" xr:uid="{00000000-0005-0000-0000-0000F9030000}"/>
    <cellStyle name="20% - Accent6 5 2 4" xfId="1020" xr:uid="{00000000-0005-0000-0000-0000FA030000}"/>
    <cellStyle name="20% - Accent6 5 2 5" xfId="1021" xr:uid="{00000000-0005-0000-0000-0000FB030000}"/>
    <cellStyle name="20% - Accent6 5 3" xfId="1022" xr:uid="{00000000-0005-0000-0000-0000FC030000}"/>
    <cellStyle name="20% - Accent6 5 3 2" xfId="1023" xr:uid="{00000000-0005-0000-0000-0000FD030000}"/>
    <cellStyle name="20% - Accent6 5 3 2 2" xfId="1024" xr:uid="{00000000-0005-0000-0000-0000FE030000}"/>
    <cellStyle name="20% - Accent6 5 3 3" xfId="1025" xr:uid="{00000000-0005-0000-0000-0000FF030000}"/>
    <cellStyle name="20% - Accent6 5 3 4" xfId="1026" xr:uid="{00000000-0005-0000-0000-000000040000}"/>
    <cellStyle name="20% - Accent6 5 4" xfId="1027" xr:uid="{00000000-0005-0000-0000-000001040000}"/>
    <cellStyle name="20% - Accent6 5 4 2" xfId="1028" xr:uid="{00000000-0005-0000-0000-000002040000}"/>
    <cellStyle name="20% - Accent6 5 5" xfId="1029" xr:uid="{00000000-0005-0000-0000-000003040000}"/>
    <cellStyle name="20% - Accent6 5 5 2" xfId="1030" xr:uid="{00000000-0005-0000-0000-000004040000}"/>
    <cellStyle name="20% - Accent6 5 6" xfId="1031" xr:uid="{00000000-0005-0000-0000-000005040000}"/>
    <cellStyle name="20% - Accent6 5 7" xfId="1032" xr:uid="{00000000-0005-0000-0000-000006040000}"/>
    <cellStyle name="20% - Accent6 6" xfId="1033" xr:uid="{00000000-0005-0000-0000-000007040000}"/>
    <cellStyle name="20% - Accent6 7" xfId="1034" xr:uid="{00000000-0005-0000-0000-000008040000}"/>
    <cellStyle name="20% - Accent6 7 2" xfId="1035" xr:uid="{00000000-0005-0000-0000-000009040000}"/>
    <cellStyle name="20% - Accent6 7 2 2" xfId="1036" xr:uid="{00000000-0005-0000-0000-00000A040000}"/>
    <cellStyle name="20% - Accent6 7 2 2 2" xfId="1037" xr:uid="{00000000-0005-0000-0000-00000B040000}"/>
    <cellStyle name="20% - Accent6 7 2 2 2 2" xfId="1038" xr:uid="{00000000-0005-0000-0000-00000C040000}"/>
    <cellStyle name="20% - Accent6 7 2 2 3" xfId="1039" xr:uid="{00000000-0005-0000-0000-00000D040000}"/>
    <cellStyle name="20% - Accent6 7 2 2 4" xfId="1040" xr:uid="{00000000-0005-0000-0000-00000E040000}"/>
    <cellStyle name="20% - Accent6 7 2 3" xfId="1041" xr:uid="{00000000-0005-0000-0000-00000F040000}"/>
    <cellStyle name="20% - Accent6 7 2 3 2" xfId="1042" xr:uid="{00000000-0005-0000-0000-000010040000}"/>
    <cellStyle name="20% - Accent6 7 2 4" xfId="1043" xr:uid="{00000000-0005-0000-0000-000011040000}"/>
    <cellStyle name="20% - Accent6 7 2 5" xfId="1044" xr:uid="{00000000-0005-0000-0000-000012040000}"/>
    <cellStyle name="20% - Accent6 7 3" xfId="1045" xr:uid="{00000000-0005-0000-0000-000013040000}"/>
    <cellStyle name="20% - Accent6 7 3 2" xfId="1046" xr:uid="{00000000-0005-0000-0000-000014040000}"/>
    <cellStyle name="20% - Accent6 7 3 2 2" xfId="1047" xr:uid="{00000000-0005-0000-0000-000015040000}"/>
    <cellStyle name="20% - Accent6 7 3 3" xfId="1048" xr:uid="{00000000-0005-0000-0000-000016040000}"/>
    <cellStyle name="20% - Accent6 7 3 4" xfId="1049" xr:uid="{00000000-0005-0000-0000-000017040000}"/>
    <cellStyle name="20% - Accent6 7 4" xfId="1050" xr:uid="{00000000-0005-0000-0000-000018040000}"/>
    <cellStyle name="20% - Accent6 7 4 2" xfId="1051" xr:uid="{00000000-0005-0000-0000-000019040000}"/>
    <cellStyle name="20% - Accent6 7 5" xfId="1052" xr:uid="{00000000-0005-0000-0000-00001A040000}"/>
    <cellStyle name="20% - Accent6 7 6" xfId="1053" xr:uid="{00000000-0005-0000-0000-00001B040000}"/>
    <cellStyle name="20% - Accent6 8" xfId="1054" xr:uid="{00000000-0005-0000-0000-00001C040000}"/>
    <cellStyle name="20% - Accent6 8 2" xfId="1055" xr:uid="{00000000-0005-0000-0000-00001D040000}"/>
    <cellStyle name="20% - Accent6 8 2 2" xfId="1056" xr:uid="{00000000-0005-0000-0000-00001E040000}"/>
    <cellStyle name="20% - Accent6 8 2 2 2" xfId="1057" xr:uid="{00000000-0005-0000-0000-00001F040000}"/>
    <cellStyle name="20% - Accent6 8 2 2 2 2" xfId="1058" xr:uid="{00000000-0005-0000-0000-000020040000}"/>
    <cellStyle name="20% - Accent6 8 2 2 3" xfId="1059" xr:uid="{00000000-0005-0000-0000-000021040000}"/>
    <cellStyle name="20% - Accent6 8 2 2 4" xfId="1060" xr:uid="{00000000-0005-0000-0000-000022040000}"/>
    <cellStyle name="20% - Accent6 8 2 3" xfId="1061" xr:uid="{00000000-0005-0000-0000-000023040000}"/>
    <cellStyle name="20% - Accent6 8 2 3 2" xfId="1062" xr:uid="{00000000-0005-0000-0000-000024040000}"/>
    <cellStyle name="20% - Accent6 8 2 4" xfId="1063" xr:uid="{00000000-0005-0000-0000-000025040000}"/>
    <cellStyle name="20% - Accent6 8 2 5" xfId="1064" xr:uid="{00000000-0005-0000-0000-000026040000}"/>
    <cellStyle name="20% - Accent6 8 3" xfId="1065" xr:uid="{00000000-0005-0000-0000-000027040000}"/>
    <cellStyle name="20% - Accent6 8 3 2" xfId="1066" xr:uid="{00000000-0005-0000-0000-000028040000}"/>
    <cellStyle name="20% - Accent6 8 3 2 2" xfId="1067" xr:uid="{00000000-0005-0000-0000-000029040000}"/>
    <cellStyle name="20% - Accent6 8 3 3" xfId="1068" xr:uid="{00000000-0005-0000-0000-00002A040000}"/>
    <cellStyle name="20% - Accent6 8 3 4" xfId="1069" xr:uid="{00000000-0005-0000-0000-00002B040000}"/>
    <cellStyle name="20% - Accent6 8 4" xfId="1070" xr:uid="{00000000-0005-0000-0000-00002C040000}"/>
    <cellStyle name="20% - Accent6 8 4 2" xfId="1071" xr:uid="{00000000-0005-0000-0000-00002D040000}"/>
    <cellStyle name="20% - Accent6 8 5" xfId="1072" xr:uid="{00000000-0005-0000-0000-00002E040000}"/>
    <cellStyle name="20% - Accent6 8 6" xfId="1073" xr:uid="{00000000-0005-0000-0000-00002F040000}"/>
    <cellStyle name="20% - Accent6 9" xfId="1074" xr:uid="{00000000-0005-0000-0000-000030040000}"/>
    <cellStyle name="20% - Accent6 9 2" xfId="1075" xr:uid="{00000000-0005-0000-0000-000031040000}"/>
    <cellStyle name="20% - Accent6 9 2 2" xfId="1076" xr:uid="{00000000-0005-0000-0000-000032040000}"/>
    <cellStyle name="20% - Accent6 9 2 2 2" xfId="1077" xr:uid="{00000000-0005-0000-0000-000033040000}"/>
    <cellStyle name="20% - Accent6 9 2 2 2 2" xfId="1078" xr:uid="{00000000-0005-0000-0000-000034040000}"/>
    <cellStyle name="20% - Accent6 9 2 2 3" xfId="1079" xr:uid="{00000000-0005-0000-0000-000035040000}"/>
    <cellStyle name="20% - Accent6 9 2 2 4" xfId="1080" xr:uid="{00000000-0005-0000-0000-000036040000}"/>
    <cellStyle name="20% - Accent6 9 2 3" xfId="1081" xr:uid="{00000000-0005-0000-0000-000037040000}"/>
    <cellStyle name="20% - Accent6 9 2 3 2" xfId="1082" xr:uid="{00000000-0005-0000-0000-000038040000}"/>
    <cellStyle name="20% - Accent6 9 2 4" xfId="1083" xr:uid="{00000000-0005-0000-0000-000039040000}"/>
    <cellStyle name="20% - Accent6 9 2 5" xfId="1084" xr:uid="{00000000-0005-0000-0000-00003A040000}"/>
    <cellStyle name="20% - Accent6 9 3" xfId="1085" xr:uid="{00000000-0005-0000-0000-00003B040000}"/>
    <cellStyle name="20% - Accent6 9 3 2" xfId="1086" xr:uid="{00000000-0005-0000-0000-00003C040000}"/>
    <cellStyle name="20% - Accent6 9 3 2 2" xfId="1087" xr:uid="{00000000-0005-0000-0000-00003D040000}"/>
    <cellStyle name="20% - Accent6 9 3 3" xfId="1088" xr:uid="{00000000-0005-0000-0000-00003E040000}"/>
    <cellStyle name="20% - Accent6 9 3 4" xfId="1089" xr:uid="{00000000-0005-0000-0000-00003F040000}"/>
    <cellStyle name="20% - Accent6 9 4" xfId="1090" xr:uid="{00000000-0005-0000-0000-000040040000}"/>
    <cellStyle name="20% - Accent6 9 4 2" xfId="1091" xr:uid="{00000000-0005-0000-0000-000041040000}"/>
    <cellStyle name="20% - Accent6 9 5" xfId="1092" xr:uid="{00000000-0005-0000-0000-000042040000}"/>
    <cellStyle name="20% - Accent6 9 6" xfId="1093" xr:uid="{00000000-0005-0000-0000-000043040000}"/>
    <cellStyle name="40% - Accent1 10" xfId="1094" xr:uid="{00000000-0005-0000-0000-000044040000}"/>
    <cellStyle name="40% - Accent1 10 2" xfId="1095" xr:uid="{00000000-0005-0000-0000-000045040000}"/>
    <cellStyle name="40% - Accent1 10 2 2" xfId="1096" xr:uid="{00000000-0005-0000-0000-000046040000}"/>
    <cellStyle name="40% - Accent1 10 2 2 2" xfId="1097" xr:uid="{00000000-0005-0000-0000-000047040000}"/>
    <cellStyle name="40% - Accent1 10 2 3" xfId="1098" xr:uid="{00000000-0005-0000-0000-000048040000}"/>
    <cellStyle name="40% - Accent1 10 2 4" xfId="1099" xr:uid="{00000000-0005-0000-0000-000049040000}"/>
    <cellStyle name="40% - Accent1 10 3" xfId="1100" xr:uid="{00000000-0005-0000-0000-00004A040000}"/>
    <cellStyle name="40% - Accent1 10 3 2" xfId="1101" xr:uid="{00000000-0005-0000-0000-00004B040000}"/>
    <cellStyle name="40% - Accent1 10 4" xfId="1102" xr:uid="{00000000-0005-0000-0000-00004C040000}"/>
    <cellStyle name="40% - Accent1 10 5" xfId="1103" xr:uid="{00000000-0005-0000-0000-00004D040000}"/>
    <cellStyle name="40% - Accent1 11" xfId="1104" xr:uid="{00000000-0005-0000-0000-00004E040000}"/>
    <cellStyle name="40% - Accent1 11 2" xfId="1105" xr:uid="{00000000-0005-0000-0000-00004F040000}"/>
    <cellStyle name="40% - Accent1 11 2 2" xfId="1106" xr:uid="{00000000-0005-0000-0000-000050040000}"/>
    <cellStyle name="40% - Accent1 11 2 2 2" xfId="1107" xr:uid="{00000000-0005-0000-0000-000051040000}"/>
    <cellStyle name="40% - Accent1 11 2 3" xfId="1108" xr:uid="{00000000-0005-0000-0000-000052040000}"/>
    <cellStyle name="40% - Accent1 11 2 4" xfId="1109" xr:uid="{00000000-0005-0000-0000-000053040000}"/>
    <cellStyle name="40% - Accent1 11 3" xfId="1110" xr:uid="{00000000-0005-0000-0000-000054040000}"/>
    <cellStyle name="40% - Accent1 11 3 2" xfId="1111" xr:uid="{00000000-0005-0000-0000-000055040000}"/>
    <cellStyle name="40% - Accent1 11 4" xfId="1112" xr:uid="{00000000-0005-0000-0000-000056040000}"/>
    <cellStyle name="40% - Accent1 11 5" xfId="1113" xr:uid="{00000000-0005-0000-0000-000057040000}"/>
    <cellStyle name="40% - Accent1 12" xfId="1114" xr:uid="{00000000-0005-0000-0000-000058040000}"/>
    <cellStyle name="40% - Accent1 12 2" xfId="1115" xr:uid="{00000000-0005-0000-0000-000059040000}"/>
    <cellStyle name="40% - Accent1 12 2 2" xfId="1116" xr:uid="{00000000-0005-0000-0000-00005A040000}"/>
    <cellStyle name="40% - Accent1 12 3" xfId="1117" xr:uid="{00000000-0005-0000-0000-00005B040000}"/>
    <cellStyle name="40% - Accent1 12 4" xfId="1118" xr:uid="{00000000-0005-0000-0000-00005C040000}"/>
    <cellStyle name="40% - Accent1 13" xfId="1119" xr:uid="{00000000-0005-0000-0000-00005D040000}"/>
    <cellStyle name="40% - Accent1 13 2" xfId="1120" xr:uid="{00000000-0005-0000-0000-00005E040000}"/>
    <cellStyle name="40% - Accent1 14" xfId="1121" xr:uid="{00000000-0005-0000-0000-00005F040000}"/>
    <cellStyle name="40% - Accent1 14 2" xfId="1122" xr:uid="{00000000-0005-0000-0000-000060040000}"/>
    <cellStyle name="40% - Accent1 15" xfId="1123" xr:uid="{00000000-0005-0000-0000-000061040000}"/>
    <cellStyle name="40% - Accent1 16" xfId="1124" xr:uid="{00000000-0005-0000-0000-000062040000}"/>
    <cellStyle name="40% - Accent1 2" xfId="1125" xr:uid="{00000000-0005-0000-0000-000063040000}"/>
    <cellStyle name="40% - Accent1 2 2" xfId="1126" xr:uid="{00000000-0005-0000-0000-000064040000}"/>
    <cellStyle name="40% - Accent1 2 2 2" xfId="1127" xr:uid="{00000000-0005-0000-0000-000065040000}"/>
    <cellStyle name="40% - Accent1 2 2 2 2" xfId="1128" xr:uid="{00000000-0005-0000-0000-000066040000}"/>
    <cellStyle name="40% - Accent1 2 2 2 2 2" xfId="1129" xr:uid="{00000000-0005-0000-0000-000067040000}"/>
    <cellStyle name="40% - Accent1 2 2 2 2 2 2" xfId="1130" xr:uid="{00000000-0005-0000-0000-000068040000}"/>
    <cellStyle name="40% - Accent1 2 2 2 2 3" xfId="1131" xr:uid="{00000000-0005-0000-0000-000069040000}"/>
    <cellStyle name="40% - Accent1 2 2 2 2 4" xfId="1132" xr:uid="{00000000-0005-0000-0000-00006A040000}"/>
    <cellStyle name="40% - Accent1 2 2 2 3" xfId="1133" xr:uid="{00000000-0005-0000-0000-00006B040000}"/>
    <cellStyle name="40% - Accent1 2 2 2 3 2" xfId="1134" xr:uid="{00000000-0005-0000-0000-00006C040000}"/>
    <cellStyle name="40% - Accent1 2 2 2 4" xfId="1135" xr:uid="{00000000-0005-0000-0000-00006D040000}"/>
    <cellStyle name="40% - Accent1 2 2 2 5" xfId="1136" xr:uid="{00000000-0005-0000-0000-00006E040000}"/>
    <cellStyle name="40% - Accent1 2 2 3" xfId="1137" xr:uid="{00000000-0005-0000-0000-00006F040000}"/>
    <cellStyle name="40% - Accent1 2 2 3 2" xfId="1138" xr:uid="{00000000-0005-0000-0000-000070040000}"/>
    <cellStyle name="40% - Accent1 2 2 3 2 2" xfId="1139" xr:uid="{00000000-0005-0000-0000-000071040000}"/>
    <cellStyle name="40% - Accent1 2 2 3 3" xfId="1140" xr:uid="{00000000-0005-0000-0000-000072040000}"/>
    <cellStyle name="40% - Accent1 2 2 3 4" xfId="1141" xr:uid="{00000000-0005-0000-0000-000073040000}"/>
    <cellStyle name="40% - Accent1 2 2 4" xfId="1142" xr:uid="{00000000-0005-0000-0000-000074040000}"/>
    <cellStyle name="40% - Accent1 2 2 4 2" xfId="1143" xr:uid="{00000000-0005-0000-0000-000075040000}"/>
    <cellStyle name="40% - Accent1 2 2 5" xfId="1144" xr:uid="{00000000-0005-0000-0000-000076040000}"/>
    <cellStyle name="40% - Accent1 2 2 5 2" xfId="1145" xr:uid="{00000000-0005-0000-0000-000077040000}"/>
    <cellStyle name="40% - Accent1 2 2 6" xfId="1146" xr:uid="{00000000-0005-0000-0000-000078040000}"/>
    <cellStyle name="40% - Accent1 2 2 7" xfId="1147" xr:uid="{00000000-0005-0000-0000-000079040000}"/>
    <cellStyle name="40% - Accent1 2 3" xfId="1148" xr:uid="{00000000-0005-0000-0000-00007A040000}"/>
    <cellStyle name="40% - Accent1 2 3 2" xfId="1149" xr:uid="{00000000-0005-0000-0000-00007B040000}"/>
    <cellStyle name="40% - Accent1 2 3 2 2" xfId="1150" xr:uid="{00000000-0005-0000-0000-00007C040000}"/>
    <cellStyle name="40% - Accent1 2 3 2 2 2" xfId="1151" xr:uid="{00000000-0005-0000-0000-00007D040000}"/>
    <cellStyle name="40% - Accent1 2 3 2 3" xfId="1152" xr:uid="{00000000-0005-0000-0000-00007E040000}"/>
    <cellStyle name="40% - Accent1 2 3 2 4" xfId="1153" xr:uid="{00000000-0005-0000-0000-00007F040000}"/>
    <cellStyle name="40% - Accent1 2 3 3" xfId="1154" xr:uid="{00000000-0005-0000-0000-000080040000}"/>
    <cellStyle name="40% - Accent1 2 3 3 2" xfId="1155" xr:uid="{00000000-0005-0000-0000-000081040000}"/>
    <cellStyle name="40% - Accent1 2 3 4" xfId="1156" xr:uid="{00000000-0005-0000-0000-000082040000}"/>
    <cellStyle name="40% - Accent1 2 3 5" xfId="1157" xr:uid="{00000000-0005-0000-0000-000083040000}"/>
    <cellStyle name="40% - Accent1 2 4" xfId="1158" xr:uid="{00000000-0005-0000-0000-000084040000}"/>
    <cellStyle name="40% - Accent1 2 4 2" xfId="1159" xr:uid="{00000000-0005-0000-0000-000085040000}"/>
    <cellStyle name="40% - Accent1 2 4 2 2" xfId="1160" xr:uid="{00000000-0005-0000-0000-000086040000}"/>
    <cellStyle name="40% - Accent1 2 4 3" xfId="1161" xr:uid="{00000000-0005-0000-0000-000087040000}"/>
    <cellStyle name="40% - Accent1 2 4 4" xfId="1162" xr:uid="{00000000-0005-0000-0000-000088040000}"/>
    <cellStyle name="40% - Accent1 2 5" xfId="1163" xr:uid="{00000000-0005-0000-0000-000089040000}"/>
    <cellStyle name="40% - Accent1 2 5 2" xfId="1164" xr:uid="{00000000-0005-0000-0000-00008A040000}"/>
    <cellStyle name="40% - Accent1 2 6" xfId="1165" xr:uid="{00000000-0005-0000-0000-00008B040000}"/>
    <cellStyle name="40% - Accent1 2 6 2" xfId="1166" xr:uid="{00000000-0005-0000-0000-00008C040000}"/>
    <cellStyle name="40% - Accent1 2 7" xfId="1167" xr:uid="{00000000-0005-0000-0000-00008D040000}"/>
    <cellStyle name="40% - Accent1 2 8" xfId="1168" xr:uid="{00000000-0005-0000-0000-00008E040000}"/>
    <cellStyle name="40% - Accent1 3" xfId="1169" xr:uid="{00000000-0005-0000-0000-00008F040000}"/>
    <cellStyle name="40% - Accent1 3 2" xfId="1170" xr:uid="{00000000-0005-0000-0000-000090040000}"/>
    <cellStyle name="40% - Accent1 4" xfId="1171" xr:uid="{00000000-0005-0000-0000-000091040000}"/>
    <cellStyle name="40% - Accent1 4 2" xfId="1172" xr:uid="{00000000-0005-0000-0000-000092040000}"/>
    <cellStyle name="40% - Accent1 4 2 2" xfId="1173" xr:uid="{00000000-0005-0000-0000-000093040000}"/>
    <cellStyle name="40% - Accent1 4 2 2 2" xfId="1174" xr:uid="{00000000-0005-0000-0000-000094040000}"/>
    <cellStyle name="40% - Accent1 4 2 2 2 2" xfId="1175" xr:uid="{00000000-0005-0000-0000-000095040000}"/>
    <cellStyle name="40% - Accent1 4 2 2 3" xfId="1176" xr:uid="{00000000-0005-0000-0000-000096040000}"/>
    <cellStyle name="40% - Accent1 4 2 2 4" xfId="1177" xr:uid="{00000000-0005-0000-0000-000097040000}"/>
    <cellStyle name="40% - Accent1 4 2 3" xfId="1178" xr:uid="{00000000-0005-0000-0000-000098040000}"/>
    <cellStyle name="40% - Accent1 4 2 3 2" xfId="1179" xr:uid="{00000000-0005-0000-0000-000099040000}"/>
    <cellStyle name="40% - Accent1 4 2 4" xfId="1180" xr:uid="{00000000-0005-0000-0000-00009A040000}"/>
    <cellStyle name="40% - Accent1 4 2 5" xfId="1181" xr:uid="{00000000-0005-0000-0000-00009B040000}"/>
    <cellStyle name="40% - Accent1 4 3" xfId="1182" xr:uid="{00000000-0005-0000-0000-00009C040000}"/>
    <cellStyle name="40% - Accent1 4 3 2" xfId="1183" xr:uid="{00000000-0005-0000-0000-00009D040000}"/>
    <cellStyle name="40% - Accent1 4 3 2 2" xfId="1184" xr:uid="{00000000-0005-0000-0000-00009E040000}"/>
    <cellStyle name="40% - Accent1 4 3 3" xfId="1185" xr:uid="{00000000-0005-0000-0000-00009F040000}"/>
    <cellStyle name="40% - Accent1 4 3 4" xfId="1186" xr:uid="{00000000-0005-0000-0000-0000A0040000}"/>
    <cellStyle name="40% - Accent1 4 4" xfId="1187" xr:uid="{00000000-0005-0000-0000-0000A1040000}"/>
    <cellStyle name="40% - Accent1 4 4 2" xfId="1188" xr:uid="{00000000-0005-0000-0000-0000A2040000}"/>
    <cellStyle name="40% - Accent1 4 5" xfId="1189" xr:uid="{00000000-0005-0000-0000-0000A3040000}"/>
    <cellStyle name="40% - Accent1 4 5 2" xfId="1190" xr:uid="{00000000-0005-0000-0000-0000A4040000}"/>
    <cellStyle name="40% - Accent1 4 6" xfId="1191" xr:uid="{00000000-0005-0000-0000-0000A5040000}"/>
    <cellStyle name="40% - Accent1 4 7" xfId="1192" xr:uid="{00000000-0005-0000-0000-0000A6040000}"/>
    <cellStyle name="40% - Accent1 5" xfId="1193" xr:uid="{00000000-0005-0000-0000-0000A7040000}"/>
    <cellStyle name="40% - Accent1 5 2" xfId="1194" xr:uid="{00000000-0005-0000-0000-0000A8040000}"/>
    <cellStyle name="40% - Accent1 5 2 2" xfId="1195" xr:uid="{00000000-0005-0000-0000-0000A9040000}"/>
    <cellStyle name="40% - Accent1 5 2 2 2" xfId="1196" xr:uid="{00000000-0005-0000-0000-0000AA040000}"/>
    <cellStyle name="40% - Accent1 5 2 2 2 2" xfId="1197" xr:uid="{00000000-0005-0000-0000-0000AB040000}"/>
    <cellStyle name="40% - Accent1 5 2 2 3" xfId="1198" xr:uid="{00000000-0005-0000-0000-0000AC040000}"/>
    <cellStyle name="40% - Accent1 5 2 2 4" xfId="1199" xr:uid="{00000000-0005-0000-0000-0000AD040000}"/>
    <cellStyle name="40% - Accent1 5 2 3" xfId="1200" xr:uid="{00000000-0005-0000-0000-0000AE040000}"/>
    <cellStyle name="40% - Accent1 5 2 3 2" xfId="1201" xr:uid="{00000000-0005-0000-0000-0000AF040000}"/>
    <cellStyle name="40% - Accent1 5 2 4" xfId="1202" xr:uid="{00000000-0005-0000-0000-0000B0040000}"/>
    <cellStyle name="40% - Accent1 5 2 5" xfId="1203" xr:uid="{00000000-0005-0000-0000-0000B1040000}"/>
    <cellStyle name="40% - Accent1 5 3" xfId="1204" xr:uid="{00000000-0005-0000-0000-0000B2040000}"/>
    <cellStyle name="40% - Accent1 5 3 2" xfId="1205" xr:uid="{00000000-0005-0000-0000-0000B3040000}"/>
    <cellStyle name="40% - Accent1 5 3 2 2" xfId="1206" xr:uid="{00000000-0005-0000-0000-0000B4040000}"/>
    <cellStyle name="40% - Accent1 5 3 3" xfId="1207" xr:uid="{00000000-0005-0000-0000-0000B5040000}"/>
    <cellStyle name="40% - Accent1 5 3 4" xfId="1208" xr:uid="{00000000-0005-0000-0000-0000B6040000}"/>
    <cellStyle name="40% - Accent1 5 4" xfId="1209" xr:uid="{00000000-0005-0000-0000-0000B7040000}"/>
    <cellStyle name="40% - Accent1 5 4 2" xfId="1210" xr:uid="{00000000-0005-0000-0000-0000B8040000}"/>
    <cellStyle name="40% - Accent1 5 5" xfId="1211" xr:uid="{00000000-0005-0000-0000-0000B9040000}"/>
    <cellStyle name="40% - Accent1 5 5 2" xfId="1212" xr:uid="{00000000-0005-0000-0000-0000BA040000}"/>
    <cellStyle name="40% - Accent1 5 6" xfId="1213" xr:uid="{00000000-0005-0000-0000-0000BB040000}"/>
    <cellStyle name="40% - Accent1 5 7" xfId="1214" xr:uid="{00000000-0005-0000-0000-0000BC040000}"/>
    <cellStyle name="40% - Accent1 6" xfId="1215" xr:uid="{00000000-0005-0000-0000-0000BD040000}"/>
    <cellStyle name="40% - Accent1 7" xfId="1216" xr:uid="{00000000-0005-0000-0000-0000BE040000}"/>
    <cellStyle name="40% - Accent1 7 2" xfId="1217" xr:uid="{00000000-0005-0000-0000-0000BF040000}"/>
    <cellStyle name="40% - Accent1 7 2 2" xfId="1218" xr:uid="{00000000-0005-0000-0000-0000C0040000}"/>
    <cellStyle name="40% - Accent1 7 2 2 2" xfId="1219" xr:uid="{00000000-0005-0000-0000-0000C1040000}"/>
    <cellStyle name="40% - Accent1 7 2 2 2 2" xfId="1220" xr:uid="{00000000-0005-0000-0000-0000C2040000}"/>
    <cellStyle name="40% - Accent1 7 2 2 3" xfId="1221" xr:uid="{00000000-0005-0000-0000-0000C3040000}"/>
    <cellStyle name="40% - Accent1 7 2 2 4" xfId="1222" xr:uid="{00000000-0005-0000-0000-0000C4040000}"/>
    <cellStyle name="40% - Accent1 7 2 3" xfId="1223" xr:uid="{00000000-0005-0000-0000-0000C5040000}"/>
    <cellStyle name="40% - Accent1 7 2 3 2" xfId="1224" xr:uid="{00000000-0005-0000-0000-0000C6040000}"/>
    <cellStyle name="40% - Accent1 7 2 4" xfId="1225" xr:uid="{00000000-0005-0000-0000-0000C7040000}"/>
    <cellStyle name="40% - Accent1 7 2 5" xfId="1226" xr:uid="{00000000-0005-0000-0000-0000C8040000}"/>
    <cellStyle name="40% - Accent1 7 3" xfId="1227" xr:uid="{00000000-0005-0000-0000-0000C9040000}"/>
    <cellStyle name="40% - Accent1 7 3 2" xfId="1228" xr:uid="{00000000-0005-0000-0000-0000CA040000}"/>
    <cellStyle name="40% - Accent1 7 3 2 2" xfId="1229" xr:uid="{00000000-0005-0000-0000-0000CB040000}"/>
    <cellStyle name="40% - Accent1 7 3 3" xfId="1230" xr:uid="{00000000-0005-0000-0000-0000CC040000}"/>
    <cellStyle name="40% - Accent1 7 3 4" xfId="1231" xr:uid="{00000000-0005-0000-0000-0000CD040000}"/>
    <cellStyle name="40% - Accent1 7 4" xfId="1232" xr:uid="{00000000-0005-0000-0000-0000CE040000}"/>
    <cellStyle name="40% - Accent1 7 4 2" xfId="1233" xr:uid="{00000000-0005-0000-0000-0000CF040000}"/>
    <cellStyle name="40% - Accent1 7 5" xfId="1234" xr:uid="{00000000-0005-0000-0000-0000D0040000}"/>
    <cellStyle name="40% - Accent1 7 6" xfId="1235" xr:uid="{00000000-0005-0000-0000-0000D1040000}"/>
    <cellStyle name="40% - Accent1 8" xfId="1236" xr:uid="{00000000-0005-0000-0000-0000D2040000}"/>
    <cellStyle name="40% - Accent1 8 2" xfId="1237" xr:uid="{00000000-0005-0000-0000-0000D3040000}"/>
    <cellStyle name="40% - Accent1 8 2 2" xfId="1238" xr:uid="{00000000-0005-0000-0000-0000D4040000}"/>
    <cellStyle name="40% - Accent1 8 2 2 2" xfId="1239" xr:uid="{00000000-0005-0000-0000-0000D5040000}"/>
    <cellStyle name="40% - Accent1 8 2 2 2 2" xfId="1240" xr:uid="{00000000-0005-0000-0000-0000D6040000}"/>
    <cellStyle name="40% - Accent1 8 2 2 3" xfId="1241" xr:uid="{00000000-0005-0000-0000-0000D7040000}"/>
    <cellStyle name="40% - Accent1 8 2 2 4" xfId="1242" xr:uid="{00000000-0005-0000-0000-0000D8040000}"/>
    <cellStyle name="40% - Accent1 8 2 3" xfId="1243" xr:uid="{00000000-0005-0000-0000-0000D9040000}"/>
    <cellStyle name="40% - Accent1 8 2 3 2" xfId="1244" xr:uid="{00000000-0005-0000-0000-0000DA040000}"/>
    <cellStyle name="40% - Accent1 8 2 4" xfId="1245" xr:uid="{00000000-0005-0000-0000-0000DB040000}"/>
    <cellStyle name="40% - Accent1 8 2 5" xfId="1246" xr:uid="{00000000-0005-0000-0000-0000DC040000}"/>
    <cellStyle name="40% - Accent1 8 3" xfId="1247" xr:uid="{00000000-0005-0000-0000-0000DD040000}"/>
    <cellStyle name="40% - Accent1 8 3 2" xfId="1248" xr:uid="{00000000-0005-0000-0000-0000DE040000}"/>
    <cellStyle name="40% - Accent1 8 3 2 2" xfId="1249" xr:uid="{00000000-0005-0000-0000-0000DF040000}"/>
    <cellStyle name="40% - Accent1 8 3 3" xfId="1250" xr:uid="{00000000-0005-0000-0000-0000E0040000}"/>
    <cellStyle name="40% - Accent1 8 3 4" xfId="1251" xr:uid="{00000000-0005-0000-0000-0000E1040000}"/>
    <cellStyle name="40% - Accent1 8 4" xfId="1252" xr:uid="{00000000-0005-0000-0000-0000E2040000}"/>
    <cellStyle name="40% - Accent1 8 4 2" xfId="1253" xr:uid="{00000000-0005-0000-0000-0000E3040000}"/>
    <cellStyle name="40% - Accent1 8 5" xfId="1254" xr:uid="{00000000-0005-0000-0000-0000E4040000}"/>
    <cellStyle name="40% - Accent1 8 6" xfId="1255" xr:uid="{00000000-0005-0000-0000-0000E5040000}"/>
    <cellStyle name="40% - Accent1 9" xfId="1256" xr:uid="{00000000-0005-0000-0000-0000E6040000}"/>
    <cellStyle name="40% - Accent1 9 2" xfId="1257" xr:uid="{00000000-0005-0000-0000-0000E7040000}"/>
    <cellStyle name="40% - Accent1 9 2 2" xfId="1258" xr:uid="{00000000-0005-0000-0000-0000E8040000}"/>
    <cellStyle name="40% - Accent1 9 2 2 2" xfId="1259" xr:uid="{00000000-0005-0000-0000-0000E9040000}"/>
    <cellStyle name="40% - Accent1 9 2 2 2 2" xfId="1260" xr:uid="{00000000-0005-0000-0000-0000EA040000}"/>
    <cellStyle name="40% - Accent1 9 2 2 3" xfId="1261" xr:uid="{00000000-0005-0000-0000-0000EB040000}"/>
    <cellStyle name="40% - Accent1 9 2 2 4" xfId="1262" xr:uid="{00000000-0005-0000-0000-0000EC040000}"/>
    <cellStyle name="40% - Accent1 9 2 3" xfId="1263" xr:uid="{00000000-0005-0000-0000-0000ED040000}"/>
    <cellStyle name="40% - Accent1 9 2 3 2" xfId="1264" xr:uid="{00000000-0005-0000-0000-0000EE040000}"/>
    <cellStyle name="40% - Accent1 9 2 4" xfId="1265" xr:uid="{00000000-0005-0000-0000-0000EF040000}"/>
    <cellStyle name="40% - Accent1 9 2 5" xfId="1266" xr:uid="{00000000-0005-0000-0000-0000F0040000}"/>
    <cellStyle name="40% - Accent1 9 3" xfId="1267" xr:uid="{00000000-0005-0000-0000-0000F1040000}"/>
    <cellStyle name="40% - Accent1 9 3 2" xfId="1268" xr:uid="{00000000-0005-0000-0000-0000F2040000}"/>
    <cellStyle name="40% - Accent1 9 3 2 2" xfId="1269" xr:uid="{00000000-0005-0000-0000-0000F3040000}"/>
    <cellStyle name="40% - Accent1 9 3 3" xfId="1270" xr:uid="{00000000-0005-0000-0000-0000F4040000}"/>
    <cellStyle name="40% - Accent1 9 3 4" xfId="1271" xr:uid="{00000000-0005-0000-0000-0000F5040000}"/>
    <cellStyle name="40% - Accent1 9 4" xfId="1272" xr:uid="{00000000-0005-0000-0000-0000F6040000}"/>
    <cellStyle name="40% - Accent1 9 4 2" xfId="1273" xr:uid="{00000000-0005-0000-0000-0000F7040000}"/>
    <cellStyle name="40% - Accent1 9 5" xfId="1274" xr:uid="{00000000-0005-0000-0000-0000F8040000}"/>
    <cellStyle name="40% - Accent1 9 6" xfId="1275" xr:uid="{00000000-0005-0000-0000-0000F9040000}"/>
    <cellStyle name="40% - Accent2 10" xfId="1276" xr:uid="{00000000-0005-0000-0000-0000FA040000}"/>
    <cellStyle name="40% - Accent2 10 2" xfId="1277" xr:uid="{00000000-0005-0000-0000-0000FB040000}"/>
    <cellStyle name="40% - Accent2 10 2 2" xfId="1278" xr:uid="{00000000-0005-0000-0000-0000FC040000}"/>
    <cellStyle name="40% - Accent2 10 2 2 2" xfId="1279" xr:uid="{00000000-0005-0000-0000-0000FD040000}"/>
    <cellStyle name="40% - Accent2 10 2 3" xfId="1280" xr:uid="{00000000-0005-0000-0000-0000FE040000}"/>
    <cellStyle name="40% - Accent2 10 2 4" xfId="1281" xr:uid="{00000000-0005-0000-0000-0000FF040000}"/>
    <cellStyle name="40% - Accent2 10 3" xfId="1282" xr:uid="{00000000-0005-0000-0000-000000050000}"/>
    <cellStyle name="40% - Accent2 10 3 2" xfId="1283" xr:uid="{00000000-0005-0000-0000-000001050000}"/>
    <cellStyle name="40% - Accent2 10 4" xfId="1284" xr:uid="{00000000-0005-0000-0000-000002050000}"/>
    <cellStyle name="40% - Accent2 10 5" xfId="1285" xr:uid="{00000000-0005-0000-0000-000003050000}"/>
    <cellStyle name="40% - Accent2 11" xfId="1286" xr:uid="{00000000-0005-0000-0000-000004050000}"/>
    <cellStyle name="40% - Accent2 11 2" xfId="1287" xr:uid="{00000000-0005-0000-0000-000005050000}"/>
    <cellStyle name="40% - Accent2 11 2 2" xfId="1288" xr:uid="{00000000-0005-0000-0000-000006050000}"/>
    <cellStyle name="40% - Accent2 11 2 2 2" xfId="1289" xr:uid="{00000000-0005-0000-0000-000007050000}"/>
    <cellStyle name="40% - Accent2 11 2 3" xfId="1290" xr:uid="{00000000-0005-0000-0000-000008050000}"/>
    <cellStyle name="40% - Accent2 11 2 4" xfId="1291" xr:uid="{00000000-0005-0000-0000-000009050000}"/>
    <cellStyle name="40% - Accent2 11 3" xfId="1292" xr:uid="{00000000-0005-0000-0000-00000A050000}"/>
    <cellStyle name="40% - Accent2 11 3 2" xfId="1293" xr:uid="{00000000-0005-0000-0000-00000B050000}"/>
    <cellStyle name="40% - Accent2 11 4" xfId="1294" xr:uid="{00000000-0005-0000-0000-00000C050000}"/>
    <cellStyle name="40% - Accent2 11 5" xfId="1295" xr:uid="{00000000-0005-0000-0000-00000D050000}"/>
    <cellStyle name="40% - Accent2 12" xfId="1296" xr:uid="{00000000-0005-0000-0000-00000E050000}"/>
    <cellStyle name="40% - Accent2 12 2" xfId="1297" xr:uid="{00000000-0005-0000-0000-00000F050000}"/>
    <cellStyle name="40% - Accent2 12 2 2" xfId="1298" xr:uid="{00000000-0005-0000-0000-000010050000}"/>
    <cellStyle name="40% - Accent2 12 3" xfId="1299" xr:uid="{00000000-0005-0000-0000-000011050000}"/>
    <cellStyle name="40% - Accent2 12 4" xfId="1300" xr:uid="{00000000-0005-0000-0000-000012050000}"/>
    <cellStyle name="40% - Accent2 13" xfId="1301" xr:uid="{00000000-0005-0000-0000-000013050000}"/>
    <cellStyle name="40% - Accent2 13 2" xfId="1302" xr:uid="{00000000-0005-0000-0000-000014050000}"/>
    <cellStyle name="40% - Accent2 14" xfId="1303" xr:uid="{00000000-0005-0000-0000-000015050000}"/>
    <cellStyle name="40% - Accent2 14 2" xfId="1304" xr:uid="{00000000-0005-0000-0000-000016050000}"/>
    <cellStyle name="40% - Accent2 15" xfId="1305" xr:uid="{00000000-0005-0000-0000-000017050000}"/>
    <cellStyle name="40% - Accent2 16" xfId="1306" xr:uid="{00000000-0005-0000-0000-000018050000}"/>
    <cellStyle name="40% - Accent2 2" xfId="1307" xr:uid="{00000000-0005-0000-0000-000019050000}"/>
    <cellStyle name="40% - Accent2 2 2" xfId="1308" xr:uid="{00000000-0005-0000-0000-00001A050000}"/>
    <cellStyle name="40% - Accent2 2 2 2" xfId="1309" xr:uid="{00000000-0005-0000-0000-00001B050000}"/>
    <cellStyle name="40% - Accent2 2 2 2 2" xfId="1310" xr:uid="{00000000-0005-0000-0000-00001C050000}"/>
    <cellStyle name="40% - Accent2 2 2 2 2 2" xfId="1311" xr:uid="{00000000-0005-0000-0000-00001D050000}"/>
    <cellStyle name="40% - Accent2 2 2 2 2 2 2" xfId="1312" xr:uid="{00000000-0005-0000-0000-00001E050000}"/>
    <cellStyle name="40% - Accent2 2 2 2 2 3" xfId="1313" xr:uid="{00000000-0005-0000-0000-00001F050000}"/>
    <cellStyle name="40% - Accent2 2 2 2 2 4" xfId="1314" xr:uid="{00000000-0005-0000-0000-000020050000}"/>
    <cellStyle name="40% - Accent2 2 2 2 3" xfId="1315" xr:uid="{00000000-0005-0000-0000-000021050000}"/>
    <cellStyle name="40% - Accent2 2 2 2 3 2" xfId="1316" xr:uid="{00000000-0005-0000-0000-000022050000}"/>
    <cellStyle name="40% - Accent2 2 2 2 4" xfId="1317" xr:uid="{00000000-0005-0000-0000-000023050000}"/>
    <cellStyle name="40% - Accent2 2 2 2 5" xfId="1318" xr:uid="{00000000-0005-0000-0000-000024050000}"/>
    <cellStyle name="40% - Accent2 2 2 3" xfId="1319" xr:uid="{00000000-0005-0000-0000-000025050000}"/>
    <cellStyle name="40% - Accent2 2 2 3 2" xfId="1320" xr:uid="{00000000-0005-0000-0000-000026050000}"/>
    <cellStyle name="40% - Accent2 2 2 3 2 2" xfId="1321" xr:uid="{00000000-0005-0000-0000-000027050000}"/>
    <cellStyle name="40% - Accent2 2 2 3 3" xfId="1322" xr:uid="{00000000-0005-0000-0000-000028050000}"/>
    <cellStyle name="40% - Accent2 2 2 3 4" xfId="1323" xr:uid="{00000000-0005-0000-0000-000029050000}"/>
    <cellStyle name="40% - Accent2 2 2 4" xfId="1324" xr:uid="{00000000-0005-0000-0000-00002A050000}"/>
    <cellStyle name="40% - Accent2 2 2 4 2" xfId="1325" xr:uid="{00000000-0005-0000-0000-00002B050000}"/>
    <cellStyle name="40% - Accent2 2 2 5" xfId="1326" xr:uid="{00000000-0005-0000-0000-00002C050000}"/>
    <cellStyle name="40% - Accent2 2 2 5 2" xfId="1327" xr:uid="{00000000-0005-0000-0000-00002D050000}"/>
    <cellStyle name="40% - Accent2 2 2 6" xfId="1328" xr:uid="{00000000-0005-0000-0000-00002E050000}"/>
    <cellStyle name="40% - Accent2 2 2 7" xfId="1329" xr:uid="{00000000-0005-0000-0000-00002F050000}"/>
    <cellStyle name="40% - Accent2 2 3" xfId="1330" xr:uid="{00000000-0005-0000-0000-000030050000}"/>
    <cellStyle name="40% - Accent2 2 3 2" xfId="1331" xr:uid="{00000000-0005-0000-0000-000031050000}"/>
    <cellStyle name="40% - Accent2 2 3 2 2" xfId="1332" xr:uid="{00000000-0005-0000-0000-000032050000}"/>
    <cellStyle name="40% - Accent2 2 3 2 2 2" xfId="1333" xr:uid="{00000000-0005-0000-0000-000033050000}"/>
    <cellStyle name="40% - Accent2 2 3 2 3" xfId="1334" xr:uid="{00000000-0005-0000-0000-000034050000}"/>
    <cellStyle name="40% - Accent2 2 3 2 4" xfId="1335" xr:uid="{00000000-0005-0000-0000-000035050000}"/>
    <cellStyle name="40% - Accent2 2 3 3" xfId="1336" xr:uid="{00000000-0005-0000-0000-000036050000}"/>
    <cellStyle name="40% - Accent2 2 3 3 2" xfId="1337" xr:uid="{00000000-0005-0000-0000-000037050000}"/>
    <cellStyle name="40% - Accent2 2 3 4" xfId="1338" xr:uid="{00000000-0005-0000-0000-000038050000}"/>
    <cellStyle name="40% - Accent2 2 3 5" xfId="1339" xr:uid="{00000000-0005-0000-0000-000039050000}"/>
    <cellStyle name="40% - Accent2 2 4" xfId="1340" xr:uid="{00000000-0005-0000-0000-00003A050000}"/>
    <cellStyle name="40% - Accent2 2 4 2" xfId="1341" xr:uid="{00000000-0005-0000-0000-00003B050000}"/>
    <cellStyle name="40% - Accent2 2 4 2 2" xfId="1342" xr:uid="{00000000-0005-0000-0000-00003C050000}"/>
    <cellStyle name="40% - Accent2 2 4 3" xfId="1343" xr:uid="{00000000-0005-0000-0000-00003D050000}"/>
    <cellStyle name="40% - Accent2 2 4 4" xfId="1344" xr:uid="{00000000-0005-0000-0000-00003E050000}"/>
    <cellStyle name="40% - Accent2 2 5" xfId="1345" xr:uid="{00000000-0005-0000-0000-00003F050000}"/>
    <cellStyle name="40% - Accent2 2 5 2" xfId="1346" xr:uid="{00000000-0005-0000-0000-000040050000}"/>
    <cellStyle name="40% - Accent2 2 6" xfId="1347" xr:uid="{00000000-0005-0000-0000-000041050000}"/>
    <cellStyle name="40% - Accent2 2 6 2" xfId="1348" xr:uid="{00000000-0005-0000-0000-000042050000}"/>
    <cellStyle name="40% - Accent2 2 7" xfId="1349" xr:uid="{00000000-0005-0000-0000-000043050000}"/>
    <cellStyle name="40% - Accent2 2 8" xfId="1350" xr:uid="{00000000-0005-0000-0000-000044050000}"/>
    <cellStyle name="40% - Accent2 3" xfId="1351" xr:uid="{00000000-0005-0000-0000-000045050000}"/>
    <cellStyle name="40% - Accent2 3 2" xfId="1352" xr:uid="{00000000-0005-0000-0000-000046050000}"/>
    <cellStyle name="40% - Accent2 4" xfId="1353" xr:uid="{00000000-0005-0000-0000-000047050000}"/>
    <cellStyle name="40% - Accent2 4 2" xfId="1354" xr:uid="{00000000-0005-0000-0000-000048050000}"/>
    <cellStyle name="40% - Accent2 4 2 2" xfId="1355" xr:uid="{00000000-0005-0000-0000-000049050000}"/>
    <cellStyle name="40% - Accent2 4 2 2 2" xfId="1356" xr:uid="{00000000-0005-0000-0000-00004A050000}"/>
    <cellStyle name="40% - Accent2 4 2 2 2 2" xfId="1357" xr:uid="{00000000-0005-0000-0000-00004B050000}"/>
    <cellStyle name="40% - Accent2 4 2 2 3" xfId="1358" xr:uid="{00000000-0005-0000-0000-00004C050000}"/>
    <cellStyle name="40% - Accent2 4 2 2 4" xfId="1359" xr:uid="{00000000-0005-0000-0000-00004D050000}"/>
    <cellStyle name="40% - Accent2 4 2 3" xfId="1360" xr:uid="{00000000-0005-0000-0000-00004E050000}"/>
    <cellStyle name="40% - Accent2 4 2 3 2" xfId="1361" xr:uid="{00000000-0005-0000-0000-00004F050000}"/>
    <cellStyle name="40% - Accent2 4 2 4" xfId="1362" xr:uid="{00000000-0005-0000-0000-000050050000}"/>
    <cellStyle name="40% - Accent2 4 2 5" xfId="1363" xr:uid="{00000000-0005-0000-0000-000051050000}"/>
    <cellStyle name="40% - Accent2 4 3" xfId="1364" xr:uid="{00000000-0005-0000-0000-000052050000}"/>
    <cellStyle name="40% - Accent2 4 3 2" xfId="1365" xr:uid="{00000000-0005-0000-0000-000053050000}"/>
    <cellStyle name="40% - Accent2 4 3 2 2" xfId="1366" xr:uid="{00000000-0005-0000-0000-000054050000}"/>
    <cellStyle name="40% - Accent2 4 3 3" xfId="1367" xr:uid="{00000000-0005-0000-0000-000055050000}"/>
    <cellStyle name="40% - Accent2 4 3 4" xfId="1368" xr:uid="{00000000-0005-0000-0000-000056050000}"/>
    <cellStyle name="40% - Accent2 4 4" xfId="1369" xr:uid="{00000000-0005-0000-0000-000057050000}"/>
    <cellStyle name="40% - Accent2 4 4 2" xfId="1370" xr:uid="{00000000-0005-0000-0000-000058050000}"/>
    <cellStyle name="40% - Accent2 4 5" xfId="1371" xr:uid="{00000000-0005-0000-0000-000059050000}"/>
    <cellStyle name="40% - Accent2 4 5 2" xfId="1372" xr:uid="{00000000-0005-0000-0000-00005A050000}"/>
    <cellStyle name="40% - Accent2 4 6" xfId="1373" xr:uid="{00000000-0005-0000-0000-00005B050000}"/>
    <cellStyle name="40% - Accent2 4 7" xfId="1374" xr:uid="{00000000-0005-0000-0000-00005C050000}"/>
    <cellStyle name="40% - Accent2 5" xfId="1375" xr:uid="{00000000-0005-0000-0000-00005D050000}"/>
    <cellStyle name="40% - Accent2 5 2" xfId="1376" xr:uid="{00000000-0005-0000-0000-00005E050000}"/>
    <cellStyle name="40% - Accent2 5 2 2" xfId="1377" xr:uid="{00000000-0005-0000-0000-00005F050000}"/>
    <cellStyle name="40% - Accent2 5 2 2 2" xfId="1378" xr:uid="{00000000-0005-0000-0000-000060050000}"/>
    <cellStyle name="40% - Accent2 5 2 2 2 2" xfId="1379" xr:uid="{00000000-0005-0000-0000-000061050000}"/>
    <cellStyle name="40% - Accent2 5 2 2 3" xfId="1380" xr:uid="{00000000-0005-0000-0000-000062050000}"/>
    <cellStyle name="40% - Accent2 5 2 2 4" xfId="1381" xr:uid="{00000000-0005-0000-0000-000063050000}"/>
    <cellStyle name="40% - Accent2 5 2 3" xfId="1382" xr:uid="{00000000-0005-0000-0000-000064050000}"/>
    <cellStyle name="40% - Accent2 5 2 3 2" xfId="1383" xr:uid="{00000000-0005-0000-0000-000065050000}"/>
    <cellStyle name="40% - Accent2 5 2 4" xfId="1384" xr:uid="{00000000-0005-0000-0000-000066050000}"/>
    <cellStyle name="40% - Accent2 5 2 5" xfId="1385" xr:uid="{00000000-0005-0000-0000-000067050000}"/>
    <cellStyle name="40% - Accent2 5 3" xfId="1386" xr:uid="{00000000-0005-0000-0000-000068050000}"/>
    <cellStyle name="40% - Accent2 5 3 2" xfId="1387" xr:uid="{00000000-0005-0000-0000-000069050000}"/>
    <cellStyle name="40% - Accent2 5 3 2 2" xfId="1388" xr:uid="{00000000-0005-0000-0000-00006A050000}"/>
    <cellStyle name="40% - Accent2 5 3 3" xfId="1389" xr:uid="{00000000-0005-0000-0000-00006B050000}"/>
    <cellStyle name="40% - Accent2 5 3 4" xfId="1390" xr:uid="{00000000-0005-0000-0000-00006C050000}"/>
    <cellStyle name="40% - Accent2 5 4" xfId="1391" xr:uid="{00000000-0005-0000-0000-00006D050000}"/>
    <cellStyle name="40% - Accent2 5 4 2" xfId="1392" xr:uid="{00000000-0005-0000-0000-00006E050000}"/>
    <cellStyle name="40% - Accent2 5 5" xfId="1393" xr:uid="{00000000-0005-0000-0000-00006F050000}"/>
    <cellStyle name="40% - Accent2 5 5 2" xfId="1394" xr:uid="{00000000-0005-0000-0000-000070050000}"/>
    <cellStyle name="40% - Accent2 5 6" xfId="1395" xr:uid="{00000000-0005-0000-0000-000071050000}"/>
    <cellStyle name="40% - Accent2 5 7" xfId="1396" xr:uid="{00000000-0005-0000-0000-000072050000}"/>
    <cellStyle name="40% - Accent2 6" xfId="1397" xr:uid="{00000000-0005-0000-0000-000073050000}"/>
    <cellStyle name="40% - Accent2 7" xfId="1398" xr:uid="{00000000-0005-0000-0000-000074050000}"/>
    <cellStyle name="40% - Accent2 7 2" xfId="1399" xr:uid="{00000000-0005-0000-0000-000075050000}"/>
    <cellStyle name="40% - Accent2 7 2 2" xfId="1400" xr:uid="{00000000-0005-0000-0000-000076050000}"/>
    <cellStyle name="40% - Accent2 7 2 2 2" xfId="1401" xr:uid="{00000000-0005-0000-0000-000077050000}"/>
    <cellStyle name="40% - Accent2 7 2 2 2 2" xfId="1402" xr:uid="{00000000-0005-0000-0000-000078050000}"/>
    <cellStyle name="40% - Accent2 7 2 2 3" xfId="1403" xr:uid="{00000000-0005-0000-0000-000079050000}"/>
    <cellStyle name="40% - Accent2 7 2 2 4" xfId="1404" xr:uid="{00000000-0005-0000-0000-00007A050000}"/>
    <cellStyle name="40% - Accent2 7 2 3" xfId="1405" xr:uid="{00000000-0005-0000-0000-00007B050000}"/>
    <cellStyle name="40% - Accent2 7 2 3 2" xfId="1406" xr:uid="{00000000-0005-0000-0000-00007C050000}"/>
    <cellStyle name="40% - Accent2 7 2 4" xfId="1407" xr:uid="{00000000-0005-0000-0000-00007D050000}"/>
    <cellStyle name="40% - Accent2 7 2 5" xfId="1408" xr:uid="{00000000-0005-0000-0000-00007E050000}"/>
    <cellStyle name="40% - Accent2 7 3" xfId="1409" xr:uid="{00000000-0005-0000-0000-00007F050000}"/>
    <cellStyle name="40% - Accent2 7 3 2" xfId="1410" xr:uid="{00000000-0005-0000-0000-000080050000}"/>
    <cellStyle name="40% - Accent2 7 3 2 2" xfId="1411" xr:uid="{00000000-0005-0000-0000-000081050000}"/>
    <cellStyle name="40% - Accent2 7 3 3" xfId="1412" xr:uid="{00000000-0005-0000-0000-000082050000}"/>
    <cellStyle name="40% - Accent2 7 3 4" xfId="1413" xr:uid="{00000000-0005-0000-0000-000083050000}"/>
    <cellStyle name="40% - Accent2 7 4" xfId="1414" xr:uid="{00000000-0005-0000-0000-000084050000}"/>
    <cellStyle name="40% - Accent2 7 4 2" xfId="1415" xr:uid="{00000000-0005-0000-0000-000085050000}"/>
    <cellStyle name="40% - Accent2 7 5" xfId="1416" xr:uid="{00000000-0005-0000-0000-000086050000}"/>
    <cellStyle name="40% - Accent2 7 6" xfId="1417" xr:uid="{00000000-0005-0000-0000-000087050000}"/>
    <cellStyle name="40% - Accent2 8" xfId="1418" xr:uid="{00000000-0005-0000-0000-000088050000}"/>
    <cellStyle name="40% - Accent2 8 2" xfId="1419" xr:uid="{00000000-0005-0000-0000-000089050000}"/>
    <cellStyle name="40% - Accent2 8 2 2" xfId="1420" xr:uid="{00000000-0005-0000-0000-00008A050000}"/>
    <cellStyle name="40% - Accent2 8 2 2 2" xfId="1421" xr:uid="{00000000-0005-0000-0000-00008B050000}"/>
    <cellStyle name="40% - Accent2 8 2 2 2 2" xfId="1422" xr:uid="{00000000-0005-0000-0000-00008C050000}"/>
    <cellStyle name="40% - Accent2 8 2 2 3" xfId="1423" xr:uid="{00000000-0005-0000-0000-00008D050000}"/>
    <cellStyle name="40% - Accent2 8 2 2 4" xfId="1424" xr:uid="{00000000-0005-0000-0000-00008E050000}"/>
    <cellStyle name="40% - Accent2 8 2 3" xfId="1425" xr:uid="{00000000-0005-0000-0000-00008F050000}"/>
    <cellStyle name="40% - Accent2 8 2 3 2" xfId="1426" xr:uid="{00000000-0005-0000-0000-000090050000}"/>
    <cellStyle name="40% - Accent2 8 2 4" xfId="1427" xr:uid="{00000000-0005-0000-0000-000091050000}"/>
    <cellStyle name="40% - Accent2 8 2 5" xfId="1428" xr:uid="{00000000-0005-0000-0000-000092050000}"/>
    <cellStyle name="40% - Accent2 8 3" xfId="1429" xr:uid="{00000000-0005-0000-0000-000093050000}"/>
    <cellStyle name="40% - Accent2 8 3 2" xfId="1430" xr:uid="{00000000-0005-0000-0000-000094050000}"/>
    <cellStyle name="40% - Accent2 8 3 2 2" xfId="1431" xr:uid="{00000000-0005-0000-0000-000095050000}"/>
    <cellStyle name="40% - Accent2 8 3 3" xfId="1432" xr:uid="{00000000-0005-0000-0000-000096050000}"/>
    <cellStyle name="40% - Accent2 8 3 4" xfId="1433" xr:uid="{00000000-0005-0000-0000-000097050000}"/>
    <cellStyle name="40% - Accent2 8 4" xfId="1434" xr:uid="{00000000-0005-0000-0000-000098050000}"/>
    <cellStyle name="40% - Accent2 8 4 2" xfId="1435" xr:uid="{00000000-0005-0000-0000-000099050000}"/>
    <cellStyle name="40% - Accent2 8 5" xfId="1436" xr:uid="{00000000-0005-0000-0000-00009A050000}"/>
    <cellStyle name="40% - Accent2 8 6" xfId="1437" xr:uid="{00000000-0005-0000-0000-00009B050000}"/>
    <cellStyle name="40% - Accent2 9" xfId="1438" xr:uid="{00000000-0005-0000-0000-00009C050000}"/>
    <cellStyle name="40% - Accent2 9 2" xfId="1439" xr:uid="{00000000-0005-0000-0000-00009D050000}"/>
    <cellStyle name="40% - Accent2 9 2 2" xfId="1440" xr:uid="{00000000-0005-0000-0000-00009E050000}"/>
    <cellStyle name="40% - Accent2 9 2 2 2" xfId="1441" xr:uid="{00000000-0005-0000-0000-00009F050000}"/>
    <cellStyle name="40% - Accent2 9 2 2 2 2" xfId="1442" xr:uid="{00000000-0005-0000-0000-0000A0050000}"/>
    <cellStyle name="40% - Accent2 9 2 2 3" xfId="1443" xr:uid="{00000000-0005-0000-0000-0000A1050000}"/>
    <cellStyle name="40% - Accent2 9 2 2 4" xfId="1444" xr:uid="{00000000-0005-0000-0000-0000A2050000}"/>
    <cellStyle name="40% - Accent2 9 2 3" xfId="1445" xr:uid="{00000000-0005-0000-0000-0000A3050000}"/>
    <cellStyle name="40% - Accent2 9 2 3 2" xfId="1446" xr:uid="{00000000-0005-0000-0000-0000A4050000}"/>
    <cellStyle name="40% - Accent2 9 2 4" xfId="1447" xr:uid="{00000000-0005-0000-0000-0000A5050000}"/>
    <cellStyle name="40% - Accent2 9 2 5" xfId="1448" xr:uid="{00000000-0005-0000-0000-0000A6050000}"/>
    <cellStyle name="40% - Accent2 9 3" xfId="1449" xr:uid="{00000000-0005-0000-0000-0000A7050000}"/>
    <cellStyle name="40% - Accent2 9 3 2" xfId="1450" xr:uid="{00000000-0005-0000-0000-0000A8050000}"/>
    <cellStyle name="40% - Accent2 9 3 2 2" xfId="1451" xr:uid="{00000000-0005-0000-0000-0000A9050000}"/>
    <cellStyle name="40% - Accent2 9 3 3" xfId="1452" xr:uid="{00000000-0005-0000-0000-0000AA050000}"/>
    <cellStyle name="40% - Accent2 9 3 4" xfId="1453" xr:uid="{00000000-0005-0000-0000-0000AB050000}"/>
    <cellStyle name="40% - Accent2 9 4" xfId="1454" xr:uid="{00000000-0005-0000-0000-0000AC050000}"/>
    <cellStyle name="40% - Accent2 9 4 2" xfId="1455" xr:uid="{00000000-0005-0000-0000-0000AD050000}"/>
    <cellStyle name="40% - Accent2 9 5" xfId="1456" xr:uid="{00000000-0005-0000-0000-0000AE050000}"/>
    <cellStyle name="40% - Accent2 9 6" xfId="1457" xr:uid="{00000000-0005-0000-0000-0000AF050000}"/>
    <cellStyle name="40% - Accent3 10" xfId="1458" xr:uid="{00000000-0005-0000-0000-0000B0050000}"/>
    <cellStyle name="40% - Accent3 10 2" xfId="1459" xr:uid="{00000000-0005-0000-0000-0000B1050000}"/>
    <cellStyle name="40% - Accent3 10 2 2" xfId="1460" xr:uid="{00000000-0005-0000-0000-0000B2050000}"/>
    <cellStyle name="40% - Accent3 10 2 2 2" xfId="1461" xr:uid="{00000000-0005-0000-0000-0000B3050000}"/>
    <cellStyle name="40% - Accent3 10 2 3" xfId="1462" xr:uid="{00000000-0005-0000-0000-0000B4050000}"/>
    <cellStyle name="40% - Accent3 10 2 4" xfId="1463" xr:uid="{00000000-0005-0000-0000-0000B5050000}"/>
    <cellStyle name="40% - Accent3 10 3" xfId="1464" xr:uid="{00000000-0005-0000-0000-0000B6050000}"/>
    <cellStyle name="40% - Accent3 10 3 2" xfId="1465" xr:uid="{00000000-0005-0000-0000-0000B7050000}"/>
    <cellStyle name="40% - Accent3 10 4" xfId="1466" xr:uid="{00000000-0005-0000-0000-0000B8050000}"/>
    <cellStyle name="40% - Accent3 10 5" xfId="1467" xr:uid="{00000000-0005-0000-0000-0000B9050000}"/>
    <cellStyle name="40% - Accent3 11" xfId="1468" xr:uid="{00000000-0005-0000-0000-0000BA050000}"/>
    <cellStyle name="40% - Accent3 11 2" xfId="1469" xr:uid="{00000000-0005-0000-0000-0000BB050000}"/>
    <cellStyle name="40% - Accent3 11 2 2" xfId="1470" xr:uid="{00000000-0005-0000-0000-0000BC050000}"/>
    <cellStyle name="40% - Accent3 11 2 2 2" xfId="1471" xr:uid="{00000000-0005-0000-0000-0000BD050000}"/>
    <cellStyle name="40% - Accent3 11 2 3" xfId="1472" xr:uid="{00000000-0005-0000-0000-0000BE050000}"/>
    <cellStyle name="40% - Accent3 11 2 4" xfId="1473" xr:uid="{00000000-0005-0000-0000-0000BF050000}"/>
    <cellStyle name="40% - Accent3 11 3" xfId="1474" xr:uid="{00000000-0005-0000-0000-0000C0050000}"/>
    <cellStyle name="40% - Accent3 11 3 2" xfId="1475" xr:uid="{00000000-0005-0000-0000-0000C1050000}"/>
    <cellStyle name="40% - Accent3 11 4" xfId="1476" xr:uid="{00000000-0005-0000-0000-0000C2050000}"/>
    <cellStyle name="40% - Accent3 11 5" xfId="1477" xr:uid="{00000000-0005-0000-0000-0000C3050000}"/>
    <cellStyle name="40% - Accent3 12" xfId="1478" xr:uid="{00000000-0005-0000-0000-0000C4050000}"/>
    <cellStyle name="40% - Accent3 12 2" xfId="1479" xr:uid="{00000000-0005-0000-0000-0000C5050000}"/>
    <cellStyle name="40% - Accent3 12 2 2" xfId="1480" xr:uid="{00000000-0005-0000-0000-0000C6050000}"/>
    <cellStyle name="40% - Accent3 12 3" xfId="1481" xr:uid="{00000000-0005-0000-0000-0000C7050000}"/>
    <cellStyle name="40% - Accent3 12 4" xfId="1482" xr:uid="{00000000-0005-0000-0000-0000C8050000}"/>
    <cellStyle name="40% - Accent3 13" xfId="1483" xr:uid="{00000000-0005-0000-0000-0000C9050000}"/>
    <cellStyle name="40% - Accent3 13 2" xfId="1484" xr:uid="{00000000-0005-0000-0000-0000CA050000}"/>
    <cellStyle name="40% - Accent3 14" xfId="1485" xr:uid="{00000000-0005-0000-0000-0000CB050000}"/>
    <cellStyle name="40% - Accent3 14 2" xfId="1486" xr:uid="{00000000-0005-0000-0000-0000CC050000}"/>
    <cellStyle name="40% - Accent3 15" xfId="1487" xr:uid="{00000000-0005-0000-0000-0000CD050000}"/>
    <cellStyle name="40% - Accent3 16" xfId="1488" xr:uid="{00000000-0005-0000-0000-0000CE050000}"/>
    <cellStyle name="40% - Accent3 2" xfId="1489" xr:uid="{00000000-0005-0000-0000-0000CF050000}"/>
    <cellStyle name="40% - Accent3 2 2" xfId="1490" xr:uid="{00000000-0005-0000-0000-0000D0050000}"/>
    <cellStyle name="40% - Accent3 2 2 2" xfId="1491" xr:uid="{00000000-0005-0000-0000-0000D1050000}"/>
    <cellStyle name="40% - Accent3 2 2 2 2" xfId="1492" xr:uid="{00000000-0005-0000-0000-0000D2050000}"/>
    <cellStyle name="40% - Accent3 2 2 2 2 2" xfId="1493" xr:uid="{00000000-0005-0000-0000-0000D3050000}"/>
    <cellStyle name="40% - Accent3 2 2 2 2 2 2" xfId="1494" xr:uid="{00000000-0005-0000-0000-0000D4050000}"/>
    <cellStyle name="40% - Accent3 2 2 2 2 3" xfId="1495" xr:uid="{00000000-0005-0000-0000-0000D5050000}"/>
    <cellStyle name="40% - Accent3 2 2 2 2 4" xfId="1496" xr:uid="{00000000-0005-0000-0000-0000D6050000}"/>
    <cellStyle name="40% - Accent3 2 2 2 3" xfId="1497" xr:uid="{00000000-0005-0000-0000-0000D7050000}"/>
    <cellStyle name="40% - Accent3 2 2 2 3 2" xfId="1498" xr:uid="{00000000-0005-0000-0000-0000D8050000}"/>
    <cellStyle name="40% - Accent3 2 2 2 4" xfId="1499" xr:uid="{00000000-0005-0000-0000-0000D9050000}"/>
    <cellStyle name="40% - Accent3 2 2 2 5" xfId="1500" xr:uid="{00000000-0005-0000-0000-0000DA050000}"/>
    <cellStyle name="40% - Accent3 2 2 3" xfId="1501" xr:uid="{00000000-0005-0000-0000-0000DB050000}"/>
    <cellStyle name="40% - Accent3 2 2 3 2" xfId="1502" xr:uid="{00000000-0005-0000-0000-0000DC050000}"/>
    <cellStyle name="40% - Accent3 2 2 3 2 2" xfId="1503" xr:uid="{00000000-0005-0000-0000-0000DD050000}"/>
    <cellStyle name="40% - Accent3 2 2 3 3" xfId="1504" xr:uid="{00000000-0005-0000-0000-0000DE050000}"/>
    <cellStyle name="40% - Accent3 2 2 3 4" xfId="1505" xr:uid="{00000000-0005-0000-0000-0000DF050000}"/>
    <cellStyle name="40% - Accent3 2 2 4" xfId="1506" xr:uid="{00000000-0005-0000-0000-0000E0050000}"/>
    <cellStyle name="40% - Accent3 2 2 4 2" xfId="1507" xr:uid="{00000000-0005-0000-0000-0000E1050000}"/>
    <cellStyle name="40% - Accent3 2 2 5" xfId="1508" xr:uid="{00000000-0005-0000-0000-0000E2050000}"/>
    <cellStyle name="40% - Accent3 2 2 5 2" xfId="1509" xr:uid="{00000000-0005-0000-0000-0000E3050000}"/>
    <cellStyle name="40% - Accent3 2 2 6" xfId="1510" xr:uid="{00000000-0005-0000-0000-0000E4050000}"/>
    <cellStyle name="40% - Accent3 2 2 7" xfId="1511" xr:uid="{00000000-0005-0000-0000-0000E5050000}"/>
    <cellStyle name="40% - Accent3 2 3" xfId="1512" xr:uid="{00000000-0005-0000-0000-0000E6050000}"/>
    <cellStyle name="40% - Accent3 2 3 2" xfId="1513" xr:uid="{00000000-0005-0000-0000-0000E7050000}"/>
    <cellStyle name="40% - Accent3 2 3 2 2" xfId="1514" xr:uid="{00000000-0005-0000-0000-0000E8050000}"/>
    <cellStyle name="40% - Accent3 2 3 2 2 2" xfId="1515" xr:uid="{00000000-0005-0000-0000-0000E9050000}"/>
    <cellStyle name="40% - Accent3 2 3 2 3" xfId="1516" xr:uid="{00000000-0005-0000-0000-0000EA050000}"/>
    <cellStyle name="40% - Accent3 2 3 2 4" xfId="1517" xr:uid="{00000000-0005-0000-0000-0000EB050000}"/>
    <cellStyle name="40% - Accent3 2 3 3" xfId="1518" xr:uid="{00000000-0005-0000-0000-0000EC050000}"/>
    <cellStyle name="40% - Accent3 2 3 3 2" xfId="1519" xr:uid="{00000000-0005-0000-0000-0000ED050000}"/>
    <cellStyle name="40% - Accent3 2 3 4" xfId="1520" xr:uid="{00000000-0005-0000-0000-0000EE050000}"/>
    <cellStyle name="40% - Accent3 2 3 5" xfId="1521" xr:uid="{00000000-0005-0000-0000-0000EF050000}"/>
    <cellStyle name="40% - Accent3 2 4" xfId="1522" xr:uid="{00000000-0005-0000-0000-0000F0050000}"/>
    <cellStyle name="40% - Accent3 2 4 2" xfId="1523" xr:uid="{00000000-0005-0000-0000-0000F1050000}"/>
    <cellStyle name="40% - Accent3 2 4 2 2" xfId="1524" xr:uid="{00000000-0005-0000-0000-0000F2050000}"/>
    <cellStyle name="40% - Accent3 2 4 3" xfId="1525" xr:uid="{00000000-0005-0000-0000-0000F3050000}"/>
    <cellStyle name="40% - Accent3 2 4 4" xfId="1526" xr:uid="{00000000-0005-0000-0000-0000F4050000}"/>
    <cellStyle name="40% - Accent3 2 5" xfId="1527" xr:uid="{00000000-0005-0000-0000-0000F5050000}"/>
    <cellStyle name="40% - Accent3 2 5 2" xfId="1528" xr:uid="{00000000-0005-0000-0000-0000F6050000}"/>
    <cellStyle name="40% - Accent3 2 6" xfId="1529" xr:uid="{00000000-0005-0000-0000-0000F7050000}"/>
    <cellStyle name="40% - Accent3 2 6 2" xfId="1530" xr:uid="{00000000-0005-0000-0000-0000F8050000}"/>
    <cellStyle name="40% - Accent3 2 7" xfId="1531" xr:uid="{00000000-0005-0000-0000-0000F9050000}"/>
    <cellStyle name="40% - Accent3 2 8" xfId="1532" xr:uid="{00000000-0005-0000-0000-0000FA050000}"/>
    <cellStyle name="40% - Accent3 3" xfId="1533" xr:uid="{00000000-0005-0000-0000-0000FB050000}"/>
    <cellStyle name="40% - Accent3 3 2" xfId="1534" xr:uid="{00000000-0005-0000-0000-0000FC050000}"/>
    <cellStyle name="40% - Accent3 4" xfId="1535" xr:uid="{00000000-0005-0000-0000-0000FD050000}"/>
    <cellStyle name="40% - Accent3 4 2" xfId="1536" xr:uid="{00000000-0005-0000-0000-0000FE050000}"/>
    <cellStyle name="40% - Accent3 4 2 2" xfId="1537" xr:uid="{00000000-0005-0000-0000-0000FF050000}"/>
    <cellStyle name="40% - Accent3 4 2 2 2" xfId="1538" xr:uid="{00000000-0005-0000-0000-000000060000}"/>
    <cellStyle name="40% - Accent3 4 2 2 2 2" xfId="1539" xr:uid="{00000000-0005-0000-0000-000001060000}"/>
    <cellStyle name="40% - Accent3 4 2 2 3" xfId="1540" xr:uid="{00000000-0005-0000-0000-000002060000}"/>
    <cellStyle name="40% - Accent3 4 2 2 4" xfId="1541" xr:uid="{00000000-0005-0000-0000-000003060000}"/>
    <cellStyle name="40% - Accent3 4 2 3" xfId="1542" xr:uid="{00000000-0005-0000-0000-000004060000}"/>
    <cellStyle name="40% - Accent3 4 2 3 2" xfId="1543" xr:uid="{00000000-0005-0000-0000-000005060000}"/>
    <cellStyle name="40% - Accent3 4 2 4" xfId="1544" xr:uid="{00000000-0005-0000-0000-000006060000}"/>
    <cellStyle name="40% - Accent3 4 2 5" xfId="1545" xr:uid="{00000000-0005-0000-0000-000007060000}"/>
    <cellStyle name="40% - Accent3 4 3" xfId="1546" xr:uid="{00000000-0005-0000-0000-000008060000}"/>
    <cellStyle name="40% - Accent3 4 3 2" xfId="1547" xr:uid="{00000000-0005-0000-0000-000009060000}"/>
    <cellStyle name="40% - Accent3 4 3 2 2" xfId="1548" xr:uid="{00000000-0005-0000-0000-00000A060000}"/>
    <cellStyle name="40% - Accent3 4 3 3" xfId="1549" xr:uid="{00000000-0005-0000-0000-00000B060000}"/>
    <cellStyle name="40% - Accent3 4 3 4" xfId="1550" xr:uid="{00000000-0005-0000-0000-00000C060000}"/>
    <cellStyle name="40% - Accent3 4 4" xfId="1551" xr:uid="{00000000-0005-0000-0000-00000D060000}"/>
    <cellStyle name="40% - Accent3 4 4 2" xfId="1552" xr:uid="{00000000-0005-0000-0000-00000E060000}"/>
    <cellStyle name="40% - Accent3 4 5" xfId="1553" xr:uid="{00000000-0005-0000-0000-00000F060000}"/>
    <cellStyle name="40% - Accent3 4 5 2" xfId="1554" xr:uid="{00000000-0005-0000-0000-000010060000}"/>
    <cellStyle name="40% - Accent3 4 6" xfId="1555" xr:uid="{00000000-0005-0000-0000-000011060000}"/>
    <cellStyle name="40% - Accent3 4 7" xfId="1556" xr:uid="{00000000-0005-0000-0000-000012060000}"/>
    <cellStyle name="40% - Accent3 5" xfId="1557" xr:uid="{00000000-0005-0000-0000-000013060000}"/>
    <cellStyle name="40% - Accent3 5 2" xfId="1558" xr:uid="{00000000-0005-0000-0000-000014060000}"/>
    <cellStyle name="40% - Accent3 5 2 2" xfId="1559" xr:uid="{00000000-0005-0000-0000-000015060000}"/>
    <cellStyle name="40% - Accent3 5 2 2 2" xfId="1560" xr:uid="{00000000-0005-0000-0000-000016060000}"/>
    <cellStyle name="40% - Accent3 5 2 2 2 2" xfId="1561" xr:uid="{00000000-0005-0000-0000-000017060000}"/>
    <cellStyle name="40% - Accent3 5 2 2 3" xfId="1562" xr:uid="{00000000-0005-0000-0000-000018060000}"/>
    <cellStyle name="40% - Accent3 5 2 2 4" xfId="1563" xr:uid="{00000000-0005-0000-0000-000019060000}"/>
    <cellStyle name="40% - Accent3 5 2 3" xfId="1564" xr:uid="{00000000-0005-0000-0000-00001A060000}"/>
    <cellStyle name="40% - Accent3 5 2 3 2" xfId="1565" xr:uid="{00000000-0005-0000-0000-00001B060000}"/>
    <cellStyle name="40% - Accent3 5 2 4" xfId="1566" xr:uid="{00000000-0005-0000-0000-00001C060000}"/>
    <cellStyle name="40% - Accent3 5 2 5" xfId="1567" xr:uid="{00000000-0005-0000-0000-00001D060000}"/>
    <cellStyle name="40% - Accent3 5 3" xfId="1568" xr:uid="{00000000-0005-0000-0000-00001E060000}"/>
    <cellStyle name="40% - Accent3 5 3 2" xfId="1569" xr:uid="{00000000-0005-0000-0000-00001F060000}"/>
    <cellStyle name="40% - Accent3 5 3 2 2" xfId="1570" xr:uid="{00000000-0005-0000-0000-000020060000}"/>
    <cellStyle name="40% - Accent3 5 3 3" xfId="1571" xr:uid="{00000000-0005-0000-0000-000021060000}"/>
    <cellStyle name="40% - Accent3 5 3 4" xfId="1572" xr:uid="{00000000-0005-0000-0000-000022060000}"/>
    <cellStyle name="40% - Accent3 5 4" xfId="1573" xr:uid="{00000000-0005-0000-0000-000023060000}"/>
    <cellStyle name="40% - Accent3 5 4 2" xfId="1574" xr:uid="{00000000-0005-0000-0000-000024060000}"/>
    <cellStyle name="40% - Accent3 5 5" xfId="1575" xr:uid="{00000000-0005-0000-0000-000025060000}"/>
    <cellStyle name="40% - Accent3 5 5 2" xfId="1576" xr:uid="{00000000-0005-0000-0000-000026060000}"/>
    <cellStyle name="40% - Accent3 5 6" xfId="1577" xr:uid="{00000000-0005-0000-0000-000027060000}"/>
    <cellStyle name="40% - Accent3 5 7" xfId="1578" xr:uid="{00000000-0005-0000-0000-000028060000}"/>
    <cellStyle name="40% - Accent3 6" xfId="1579" xr:uid="{00000000-0005-0000-0000-000029060000}"/>
    <cellStyle name="40% - Accent3 7" xfId="1580" xr:uid="{00000000-0005-0000-0000-00002A060000}"/>
    <cellStyle name="40% - Accent3 7 2" xfId="1581" xr:uid="{00000000-0005-0000-0000-00002B060000}"/>
    <cellStyle name="40% - Accent3 7 2 2" xfId="1582" xr:uid="{00000000-0005-0000-0000-00002C060000}"/>
    <cellStyle name="40% - Accent3 7 2 2 2" xfId="1583" xr:uid="{00000000-0005-0000-0000-00002D060000}"/>
    <cellStyle name="40% - Accent3 7 2 2 2 2" xfId="1584" xr:uid="{00000000-0005-0000-0000-00002E060000}"/>
    <cellStyle name="40% - Accent3 7 2 2 3" xfId="1585" xr:uid="{00000000-0005-0000-0000-00002F060000}"/>
    <cellStyle name="40% - Accent3 7 2 2 4" xfId="1586" xr:uid="{00000000-0005-0000-0000-000030060000}"/>
    <cellStyle name="40% - Accent3 7 2 3" xfId="1587" xr:uid="{00000000-0005-0000-0000-000031060000}"/>
    <cellStyle name="40% - Accent3 7 2 3 2" xfId="1588" xr:uid="{00000000-0005-0000-0000-000032060000}"/>
    <cellStyle name="40% - Accent3 7 2 4" xfId="1589" xr:uid="{00000000-0005-0000-0000-000033060000}"/>
    <cellStyle name="40% - Accent3 7 2 5" xfId="1590" xr:uid="{00000000-0005-0000-0000-000034060000}"/>
    <cellStyle name="40% - Accent3 7 3" xfId="1591" xr:uid="{00000000-0005-0000-0000-000035060000}"/>
    <cellStyle name="40% - Accent3 7 3 2" xfId="1592" xr:uid="{00000000-0005-0000-0000-000036060000}"/>
    <cellStyle name="40% - Accent3 7 3 2 2" xfId="1593" xr:uid="{00000000-0005-0000-0000-000037060000}"/>
    <cellStyle name="40% - Accent3 7 3 3" xfId="1594" xr:uid="{00000000-0005-0000-0000-000038060000}"/>
    <cellStyle name="40% - Accent3 7 3 4" xfId="1595" xr:uid="{00000000-0005-0000-0000-000039060000}"/>
    <cellStyle name="40% - Accent3 7 4" xfId="1596" xr:uid="{00000000-0005-0000-0000-00003A060000}"/>
    <cellStyle name="40% - Accent3 7 4 2" xfId="1597" xr:uid="{00000000-0005-0000-0000-00003B060000}"/>
    <cellStyle name="40% - Accent3 7 5" xfId="1598" xr:uid="{00000000-0005-0000-0000-00003C060000}"/>
    <cellStyle name="40% - Accent3 7 6" xfId="1599" xr:uid="{00000000-0005-0000-0000-00003D060000}"/>
    <cellStyle name="40% - Accent3 8" xfId="1600" xr:uid="{00000000-0005-0000-0000-00003E060000}"/>
    <cellStyle name="40% - Accent3 8 2" xfId="1601" xr:uid="{00000000-0005-0000-0000-00003F060000}"/>
    <cellStyle name="40% - Accent3 8 2 2" xfId="1602" xr:uid="{00000000-0005-0000-0000-000040060000}"/>
    <cellStyle name="40% - Accent3 8 2 2 2" xfId="1603" xr:uid="{00000000-0005-0000-0000-000041060000}"/>
    <cellStyle name="40% - Accent3 8 2 2 2 2" xfId="1604" xr:uid="{00000000-0005-0000-0000-000042060000}"/>
    <cellStyle name="40% - Accent3 8 2 2 3" xfId="1605" xr:uid="{00000000-0005-0000-0000-000043060000}"/>
    <cellStyle name="40% - Accent3 8 2 2 4" xfId="1606" xr:uid="{00000000-0005-0000-0000-000044060000}"/>
    <cellStyle name="40% - Accent3 8 2 3" xfId="1607" xr:uid="{00000000-0005-0000-0000-000045060000}"/>
    <cellStyle name="40% - Accent3 8 2 3 2" xfId="1608" xr:uid="{00000000-0005-0000-0000-000046060000}"/>
    <cellStyle name="40% - Accent3 8 2 4" xfId="1609" xr:uid="{00000000-0005-0000-0000-000047060000}"/>
    <cellStyle name="40% - Accent3 8 2 5" xfId="1610" xr:uid="{00000000-0005-0000-0000-000048060000}"/>
    <cellStyle name="40% - Accent3 8 3" xfId="1611" xr:uid="{00000000-0005-0000-0000-000049060000}"/>
    <cellStyle name="40% - Accent3 8 3 2" xfId="1612" xr:uid="{00000000-0005-0000-0000-00004A060000}"/>
    <cellStyle name="40% - Accent3 8 3 2 2" xfId="1613" xr:uid="{00000000-0005-0000-0000-00004B060000}"/>
    <cellStyle name="40% - Accent3 8 3 3" xfId="1614" xr:uid="{00000000-0005-0000-0000-00004C060000}"/>
    <cellStyle name="40% - Accent3 8 3 4" xfId="1615" xr:uid="{00000000-0005-0000-0000-00004D060000}"/>
    <cellStyle name="40% - Accent3 8 4" xfId="1616" xr:uid="{00000000-0005-0000-0000-00004E060000}"/>
    <cellStyle name="40% - Accent3 8 4 2" xfId="1617" xr:uid="{00000000-0005-0000-0000-00004F060000}"/>
    <cellStyle name="40% - Accent3 8 5" xfId="1618" xr:uid="{00000000-0005-0000-0000-000050060000}"/>
    <cellStyle name="40% - Accent3 8 6" xfId="1619" xr:uid="{00000000-0005-0000-0000-000051060000}"/>
    <cellStyle name="40% - Accent3 9" xfId="1620" xr:uid="{00000000-0005-0000-0000-000052060000}"/>
    <cellStyle name="40% - Accent3 9 2" xfId="1621" xr:uid="{00000000-0005-0000-0000-000053060000}"/>
    <cellStyle name="40% - Accent3 9 2 2" xfId="1622" xr:uid="{00000000-0005-0000-0000-000054060000}"/>
    <cellStyle name="40% - Accent3 9 2 2 2" xfId="1623" xr:uid="{00000000-0005-0000-0000-000055060000}"/>
    <cellStyle name="40% - Accent3 9 2 2 2 2" xfId="1624" xr:uid="{00000000-0005-0000-0000-000056060000}"/>
    <cellStyle name="40% - Accent3 9 2 2 3" xfId="1625" xr:uid="{00000000-0005-0000-0000-000057060000}"/>
    <cellStyle name="40% - Accent3 9 2 2 4" xfId="1626" xr:uid="{00000000-0005-0000-0000-000058060000}"/>
    <cellStyle name="40% - Accent3 9 2 3" xfId="1627" xr:uid="{00000000-0005-0000-0000-000059060000}"/>
    <cellStyle name="40% - Accent3 9 2 3 2" xfId="1628" xr:uid="{00000000-0005-0000-0000-00005A060000}"/>
    <cellStyle name="40% - Accent3 9 2 4" xfId="1629" xr:uid="{00000000-0005-0000-0000-00005B060000}"/>
    <cellStyle name="40% - Accent3 9 2 5" xfId="1630" xr:uid="{00000000-0005-0000-0000-00005C060000}"/>
    <cellStyle name="40% - Accent3 9 3" xfId="1631" xr:uid="{00000000-0005-0000-0000-00005D060000}"/>
    <cellStyle name="40% - Accent3 9 3 2" xfId="1632" xr:uid="{00000000-0005-0000-0000-00005E060000}"/>
    <cellStyle name="40% - Accent3 9 3 2 2" xfId="1633" xr:uid="{00000000-0005-0000-0000-00005F060000}"/>
    <cellStyle name="40% - Accent3 9 3 3" xfId="1634" xr:uid="{00000000-0005-0000-0000-000060060000}"/>
    <cellStyle name="40% - Accent3 9 3 4" xfId="1635" xr:uid="{00000000-0005-0000-0000-000061060000}"/>
    <cellStyle name="40% - Accent3 9 4" xfId="1636" xr:uid="{00000000-0005-0000-0000-000062060000}"/>
    <cellStyle name="40% - Accent3 9 4 2" xfId="1637" xr:uid="{00000000-0005-0000-0000-000063060000}"/>
    <cellStyle name="40% - Accent3 9 5" xfId="1638" xr:uid="{00000000-0005-0000-0000-000064060000}"/>
    <cellStyle name="40% - Accent3 9 6" xfId="1639" xr:uid="{00000000-0005-0000-0000-000065060000}"/>
    <cellStyle name="40% - Accent4 10" xfId="1640" xr:uid="{00000000-0005-0000-0000-000066060000}"/>
    <cellStyle name="40% - Accent4 10 2" xfId="1641" xr:uid="{00000000-0005-0000-0000-000067060000}"/>
    <cellStyle name="40% - Accent4 10 2 2" xfId="1642" xr:uid="{00000000-0005-0000-0000-000068060000}"/>
    <cellStyle name="40% - Accent4 10 2 2 2" xfId="1643" xr:uid="{00000000-0005-0000-0000-000069060000}"/>
    <cellStyle name="40% - Accent4 10 2 3" xfId="1644" xr:uid="{00000000-0005-0000-0000-00006A060000}"/>
    <cellStyle name="40% - Accent4 10 2 4" xfId="1645" xr:uid="{00000000-0005-0000-0000-00006B060000}"/>
    <cellStyle name="40% - Accent4 10 3" xfId="1646" xr:uid="{00000000-0005-0000-0000-00006C060000}"/>
    <cellStyle name="40% - Accent4 10 3 2" xfId="1647" xr:uid="{00000000-0005-0000-0000-00006D060000}"/>
    <cellStyle name="40% - Accent4 10 4" xfId="1648" xr:uid="{00000000-0005-0000-0000-00006E060000}"/>
    <cellStyle name="40% - Accent4 10 5" xfId="1649" xr:uid="{00000000-0005-0000-0000-00006F060000}"/>
    <cellStyle name="40% - Accent4 11" xfId="1650" xr:uid="{00000000-0005-0000-0000-000070060000}"/>
    <cellStyle name="40% - Accent4 11 2" xfId="1651" xr:uid="{00000000-0005-0000-0000-000071060000}"/>
    <cellStyle name="40% - Accent4 11 2 2" xfId="1652" xr:uid="{00000000-0005-0000-0000-000072060000}"/>
    <cellStyle name="40% - Accent4 11 2 2 2" xfId="1653" xr:uid="{00000000-0005-0000-0000-000073060000}"/>
    <cellStyle name="40% - Accent4 11 2 3" xfId="1654" xr:uid="{00000000-0005-0000-0000-000074060000}"/>
    <cellStyle name="40% - Accent4 11 2 4" xfId="1655" xr:uid="{00000000-0005-0000-0000-000075060000}"/>
    <cellStyle name="40% - Accent4 11 3" xfId="1656" xr:uid="{00000000-0005-0000-0000-000076060000}"/>
    <cellStyle name="40% - Accent4 11 3 2" xfId="1657" xr:uid="{00000000-0005-0000-0000-000077060000}"/>
    <cellStyle name="40% - Accent4 11 4" xfId="1658" xr:uid="{00000000-0005-0000-0000-000078060000}"/>
    <cellStyle name="40% - Accent4 11 5" xfId="1659" xr:uid="{00000000-0005-0000-0000-000079060000}"/>
    <cellStyle name="40% - Accent4 12" xfId="1660" xr:uid="{00000000-0005-0000-0000-00007A060000}"/>
    <cellStyle name="40% - Accent4 12 2" xfId="1661" xr:uid="{00000000-0005-0000-0000-00007B060000}"/>
    <cellStyle name="40% - Accent4 12 2 2" xfId="1662" xr:uid="{00000000-0005-0000-0000-00007C060000}"/>
    <cellStyle name="40% - Accent4 12 3" xfId="1663" xr:uid="{00000000-0005-0000-0000-00007D060000}"/>
    <cellStyle name="40% - Accent4 12 4" xfId="1664" xr:uid="{00000000-0005-0000-0000-00007E060000}"/>
    <cellStyle name="40% - Accent4 13" xfId="1665" xr:uid="{00000000-0005-0000-0000-00007F060000}"/>
    <cellStyle name="40% - Accent4 13 2" xfId="1666" xr:uid="{00000000-0005-0000-0000-000080060000}"/>
    <cellStyle name="40% - Accent4 14" xfId="1667" xr:uid="{00000000-0005-0000-0000-000081060000}"/>
    <cellStyle name="40% - Accent4 14 2" xfId="1668" xr:uid="{00000000-0005-0000-0000-000082060000}"/>
    <cellStyle name="40% - Accent4 15" xfId="1669" xr:uid="{00000000-0005-0000-0000-000083060000}"/>
    <cellStyle name="40% - Accent4 16" xfId="1670" xr:uid="{00000000-0005-0000-0000-000084060000}"/>
    <cellStyle name="40% - Accent4 2" xfId="1671" xr:uid="{00000000-0005-0000-0000-000085060000}"/>
    <cellStyle name="40% - Accent4 2 2" xfId="1672" xr:uid="{00000000-0005-0000-0000-000086060000}"/>
    <cellStyle name="40% - Accent4 2 2 2" xfId="1673" xr:uid="{00000000-0005-0000-0000-000087060000}"/>
    <cellStyle name="40% - Accent4 2 2 2 2" xfId="1674" xr:uid="{00000000-0005-0000-0000-000088060000}"/>
    <cellStyle name="40% - Accent4 2 2 2 2 2" xfId="1675" xr:uid="{00000000-0005-0000-0000-000089060000}"/>
    <cellStyle name="40% - Accent4 2 2 2 2 2 2" xfId="1676" xr:uid="{00000000-0005-0000-0000-00008A060000}"/>
    <cellStyle name="40% - Accent4 2 2 2 2 3" xfId="1677" xr:uid="{00000000-0005-0000-0000-00008B060000}"/>
    <cellStyle name="40% - Accent4 2 2 2 2 4" xfId="1678" xr:uid="{00000000-0005-0000-0000-00008C060000}"/>
    <cellStyle name="40% - Accent4 2 2 2 3" xfId="1679" xr:uid="{00000000-0005-0000-0000-00008D060000}"/>
    <cellStyle name="40% - Accent4 2 2 2 3 2" xfId="1680" xr:uid="{00000000-0005-0000-0000-00008E060000}"/>
    <cellStyle name="40% - Accent4 2 2 2 4" xfId="1681" xr:uid="{00000000-0005-0000-0000-00008F060000}"/>
    <cellStyle name="40% - Accent4 2 2 2 5" xfId="1682" xr:uid="{00000000-0005-0000-0000-000090060000}"/>
    <cellStyle name="40% - Accent4 2 2 3" xfId="1683" xr:uid="{00000000-0005-0000-0000-000091060000}"/>
    <cellStyle name="40% - Accent4 2 2 3 2" xfId="1684" xr:uid="{00000000-0005-0000-0000-000092060000}"/>
    <cellStyle name="40% - Accent4 2 2 3 2 2" xfId="1685" xr:uid="{00000000-0005-0000-0000-000093060000}"/>
    <cellStyle name="40% - Accent4 2 2 3 3" xfId="1686" xr:uid="{00000000-0005-0000-0000-000094060000}"/>
    <cellStyle name="40% - Accent4 2 2 3 4" xfId="1687" xr:uid="{00000000-0005-0000-0000-000095060000}"/>
    <cellStyle name="40% - Accent4 2 2 4" xfId="1688" xr:uid="{00000000-0005-0000-0000-000096060000}"/>
    <cellStyle name="40% - Accent4 2 2 4 2" xfId="1689" xr:uid="{00000000-0005-0000-0000-000097060000}"/>
    <cellStyle name="40% - Accent4 2 2 5" xfId="1690" xr:uid="{00000000-0005-0000-0000-000098060000}"/>
    <cellStyle name="40% - Accent4 2 2 5 2" xfId="1691" xr:uid="{00000000-0005-0000-0000-000099060000}"/>
    <cellStyle name="40% - Accent4 2 2 6" xfId="1692" xr:uid="{00000000-0005-0000-0000-00009A060000}"/>
    <cellStyle name="40% - Accent4 2 2 7" xfId="1693" xr:uid="{00000000-0005-0000-0000-00009B060000}"/>
    <cellStyle name="40% - Accent4 2 3" xfId="1694" xr:uid="{00000000-0005-0000-0000-00009C060000}"/>
    <cellStyle name="40% - Accent4 2 3 2" xfId="1695" xr:uid="{00000000-0005-0000-0000-00009D060000}"/>
    <cellStyle name="40% - Accent4 2 3 2 2" xfId="1696" xr:uid="{00000000-0005-0000-0000-00009E060000}"/>
    <cellStyle name="40% - Accent4 2 3 2 2 2" xfId="1697" xr:uid="{00000000-0005-0000-0000-00009F060000}"/>
    <cellStyle name="40% - Accent4 2 3 2 3" xfId="1698" xr:uid="{00000000-0005-0000-0000-0000A0060000}"/>
    <cellStyle name="40% - Accent4 2 3 2 4" xfId="1699" xr:uid="{00000000-0005-0000-0000-0000A1060000}"/>
    <cellStyle name="40% - Accent4 2 3 3" xfId="1700" xr:uid="{00000000-0005-0000-0000-0000A2060000}"/>
    <cellStyle name="40% - Accent4 2 3 3 2" xfId="1701" xr:uid="{00000000-0005-0000-0000-0000A3060000}"/>
    <cellStyle name="40% - Accent4 2 3 4" xfId="1702" xr:uid="{00000000-0005-0000-0000-0000A4060000}"/>
    <cellStyle name="40% - Accent4 2 3 5" xfId="1703" xr:uid="{00000000-0005-0000-0000-0000A5060000}"/>
    <cellStyle name="40% - Accent4 2 4" xfId="1704" xr:uid="{00000000-0005-0000-0000-0000A6060000}"/>
    <cellStyle name="40% - Accent4 2 4 2" xfId="1705" xr:uid="{00000000-0005-0000-0000-0000A7060000}"/>
    <cellStyle name="40% - Accent4 2 4 2 2" xfId="1706" xr:uid="{00000000-0005-0000-0000-0000A8060000}"/>
    <cellStyle name="40% - Accent4 2 4 3" xfId="1707" xr:uid="{00000000-0005-0000-0000-0000A9060000}"/>
    <cellStyle name="40% - Accent4 2 4 4" xfId="1708" xr:uid="{00000000-0005-0000-0000-0000AA060000}"/>
    <cellStyle name="40% - Accent4 2 5" xfId="1709" xr:uid="{00000000-0005-0000-0000-0000AB060000}"/>
    <cellStyle name="40% - Accent4 2 5 2" xfId="1710" xr:uid="{00000000-0005-0000-0000-0000AC060000}"/>
    <cellStyle name="40% - Accent4 2 6" xfId="1711" xr:uid="{00000000-0005-0000-0000-0000AD060000}"/>
    <cellStyle name="40% - Accent4 2 6 2" xfId="1712" xr:uid="{00000000-0005-0000-0000-0000AE060000}"/>
    <cellStyle name="40% - Accent4 2 7" xfId="1713" xr:uid="{00000000-0005-0000-0000-0000AF060000}"/>
    <cellStyle name="40% - Accent4 2 8" xfId="1714" xr:uid="{00000000-0005-0000-0000-0000B0060000}"/>
    <cellStyle name="40% - Accent4 3" xfId="1715" xr:uid="{00000000-0005-0000-0000-0000B1060000}"/>
    <cellStyle name="40% - Accent4 3 2" xfId="1716" xr:uid="{00000000-0005-0000-0000-0000B2060000}"/>
    <cellStyle name="40% - Accent4 4" xfId="1717" xr:uid="{00000000-0005-0000-0000-0000B3060000}"/>
    <cellStyle name="40% - Accent4 4 2" xfId="1718" xr:uid="{00000000-0005-0000-0000-0000B4060000}"/>
    <cellStyle name="40% - Accent4 4 2 2" xfId="1719" xr:uid="{00000000-0005-0000-0000-0000B5060000}"/>
    <cellStyle name="40% - Accent4 4 2 2 2" xfId="1720" xr:uid="{00000000-0005-0000-0000-0000B6060000}"/>
    <cellStyle name="40% - Accent4 4 2 2 2 2" xfId="1721" xr:uid="{00000000-0005-0000-0000-0000B7060000}"/>
    <cellStyle name="40% - Accent4 4 2 2 3" xfId="1722" xr:uid="{00000000-0005-0000-0000-0000B8060000}"/>
    <cellStyle name="40% - Accent4 4 2 2 4" xfId="1723" xr:uid="{00000000-0005-0000-0000-0000B9060000}"/>
    <cellStyle name="40% - Accent4 4 2 3" xfId="1724" xr:uid="{00000000-0005-0000-0000-0000BA060000}"/>
    <cellStyle name="40% - Accent4 4 2 3 2" xfId="1725" xr:uid="{00000000-0005-0000-0000-0000BB060000}"/>
    <cellStyle name="40% - Accent4 4 2 4" xfId="1726" xr:uid="{00000000-0005-0000-0000-0000BC060000}"/>
    <cellStyle name="40% - Accent4 4 2 5" xfId="1727" xr:uid="{00000000-0005-0000-0000-0000BD060000}"/>
    <cellStyle name="40% - Accent4 4 3" xfId="1728" xr:uid="{00000000-0005-0000-0000-0000BE060000}"/>
    <cellStyle name="40% - Accent4 4 3 2" xfId="1729" xr:uid="{00000000-0005-0000-0000-0000BF060000}"/>
    <cellStyle name="40% - Accent4 4 3 2 2" xfId="1730" xr:uid="{00000000-0005-0000-0000-0000C0060000}"/>
    <cellStyle name="40% - Accent4 4 3 3" xfId="1731" xr:uid="{00000000-0005-0000-0000-0000C1060000}"/>
    <cellStyle name="40% - Accent4 4 3 4" xfId="1732" xr:uid="{00000000-0005-0000-0000-0000C2060000}"/>
    <cellStyle name="40% - Accent4 4 4" xfId="1733" xr:uid="{00000000-0005-0000-0000-0000C3060000}"/>
    <cellStyle name="40% - Accent4 4 4 2" xfId="1734" xr:uid="{00000000-0005-0000-0000-0000C4060000}"/>
    <cellStyle name="40% - Accent4 4 5" xfId="1735" xr:uid="{00000000-0005-0000-0000-0000C5060000}"/>
    <cellStyle name="40% - Accent4 4 5 2" xfId="1736" xr:uid="{00000000-0005-0000-0000-0000C6060000}"/>
    <cellStyle name="40% - Accent4 4 6" xfId="1737" xr:uid="{00000000-0005-0000-0000-0000C7060000}"/>
    <cellStyle name="40% - Accent4 4 7" xfId="1738" xr:uid="{00000000-0005-0000-0000-0000C8060000}"/>
    <cellStyle name="40% - Accent4 5" xfId="1739" xr:uid="{00000000-0005-0000-0000-0000C9060000}"/>
    <cellStyle name="40% - Accent4 5 2" xfId="1740" xr:uid="{00000000-0005-0000-0000-0000CA060000}"/>
    <cellStyle name="40% - Accent4 5 2 2" xfId="1741" xr:uid="{00000000-0005-0000-0000-0000CB060000}"/>
    <cellStyle name="40% - Accent4 5 2 2 2" xfId="1742" xr:uid="{00000000-0005-0000-0000-0000CC060000}"/>
    <cellStyle name="40% - Accent4 5 2 2 2 2" xfId="1743" xr:uid="{00000000-0005-0000-0000-0000CD060000}"/>
    <cellStyle name="40% - Accent4 5 2 2 3" xfId="1744" xr:uid="{00000000-0005-0000-0000-0000CE060000}"/>
    <cellStyle name="40% - Accent4 5 2 2 4" xfId="1745" xr:uid="{00000000-0005-0000-0000-0000CF060000}"/>
    <cellStyle name="40% - Accent4 5 2 3" xfId="1746" xr:uid="{00000000-0005-0000-0000-0000D0060000}"/>
    <cellStyle name="40% - Accent4 5 2 3 2" xfId="1747" xr:uid="{00000000-0005-0000-0000-0000D1060000}"/>
    <cellStyle name="40% - Accent4 5 2 4" xfId="1748" xr:uid="{00000000-0005-0000-0000-0000D2060000}"/>
    <cellStyle name="40% - Accent4 5 2 5" xfId="1749" xr:uid="{00000000-0005-0000-0000-0000D3060000}"/>
    <cellStyle name="40% - Accent4 5 3" xfId="1750" xr:uid="{00000000-0005-0000-0000-0000D4060000}"/>
    <cellStyle name="40% - Accent4 5 3 2" xfId="1751" xr:uid="{00000000-0005-0000-0000-0000D5060000}"/>
    <cellStyle name="40% - Accent4 5 3 2 2" xfId="1752" xr:uid="{00000000-0005-0000-0000-0000D6060000}"/>
    <cellStyle name="40% - Accent4 5 3 3" xfId="1753" xr:uid="{00000000-0005-0000-0000-0000D7060000}"/>
    <cellStyle name="40% - Accent4 5 3 4" xfId="1754" xr:uid="{00000000-0005-0000-0000-0000D8060000}"/>
    <cellStyle name="40% - Accent4 5 4" xfId="1755" xr:uid="{00000000-0005-0000-0000-0000D9060000}"/>
    <cellStyle name="40% - Accent4 5 4 2" xfId="1756" xr:uid="{00000000-0005-0000-0000-0000DA060000}"/>
    <cellStyle name="40% - Accent4 5 5" xfId="1757" xr:uid="{00000000-0005-0000-0000-0000DB060000}"/>
    <cellStyle name="40% - Accent4 5 5 2" xfId="1758" xr:uid="{00000000-0005-0000-0000-0000DC060000}"/>
    <cellStyle name="40% - Accent4 5 6" xfId="1759" xr:uid="{00000000-0005-0000-0000-0000DD060000}"/>
    <cellStyle name="40% - Accent4 5 7" xfId="1760" xr:uid="{00000000-0005-0000-0000-0000DE060000}"/>
    <cellStyle name="40% - Accent4 6" xfId="1761" xr:uid="{00000000-0005-0000-0000-0000DF060000}"/>
    <cellStyle name="40% - Accent4 7" xfId="1762" xr:uid="{00000000-0005-0000-0000-0000E0060000}"/>
    <cellStyle name="40% - Accent4 7 2" xfId="1763" xr:uid="{00000000-0005-0000-0000-0000E1060000}"/>
    <cellStyle name="40% - Accent4 7 2 2" xfId="1764" xr:uid="{00000000-0005-0000-0000-0000E2060000}"/>
    <cellStyle name="40% - Accent4 7 2 2 2" xfId="1765" xr:uid="{00000000-0005-0000-0000-0000E3060000}"/>
    <cellStyle name="40% - Accent4 7 2 2 2 2" xfId="1766" xr:uid="{00000000-0005-0000-0000-0000E4060000}"/>
    <cellStyle name="40% - Accent4 7 2 2 3" xfId="1767" xr:uid="{00000000-0005-0000-0000-0000E5060000}"/>
    <cellStyle name="40% - Accent4 7 2 2 4" xfId="1768" xr:uid="{00000000-0005-0000-0000-0000E6060000}"/>
    <cellStyle name="40% - Accent4 7 2 3" xfId="1769" xr:uid="{00000000-0005-0000-0000-0000E7060000}"/>
    <cellStyle name="40% - Accent4 7 2 3 2" xfId="1770" xr:uid="{00000000-0005-0000-0000-0000E8060000}"/>
    <cellStyle name="40% - Accent4 7 2 4" xfId="1771" xr:uid="{00000000-0005-0000-0000-0000E9060000}"/>
    <cellStyle name="40% - Accent4 7 2 5" xfId="1772" xr:uid="{00000000-0005-0000-0000-0000EA060000}"/>
    <cellStyle name="40% - Accent4 7 3" xfId="1773" xr:uid="{00000000-0005-0000-0000-0000EB060000}"/>
    <cellStyle name="40% - Accent4 7 3 2" xfId="1774" xr:uid="{00000000-0005-0000-0000-0000EC060000}"/>
    <cellStyle name="40% - Accent4 7 3 2 2" xfId="1775" xr:uid="{00000000-0005-0000-0000-0000ED060000}"/>
    <cellStyle name="40% - Accent4 7 3 3" xfId="1776" xr:uid="{00000000-0005-0000-0000-0000EE060000}"/>
    <cellStyle name="40% - Accent4 7 3 4" xfId="1777" xr:uid="{00000000-0005-0000-0000-0000EF060000}"/>
    <cellStyle name="40% - Accent4 7 4" xfId="1778" xr:uid="{00000000-0005-0000-0000-0000F0060000}"/>
    <cellStyle name="40% - Accent4 7 4 2" xfId="1779" xr:uid="{00000000-0005-0000-0000-0000F1060000}"/>
    <cellStyle name="40% - Accent4 7 5" xfId="1780" xr:uid="{00000000-0005-0000-0000-0000F2060000}"/>
    <cellStyle name="40% - Accent4 7 6" xfId="1781" xr:uid="{00000000-0005-0000-0000-0000F3060000}"/>
    <cellStyle name="40% - Accent4 8" xfId="1782" xr:uid="{00000000-0005-0000-0000-0000F4060000}"/>
    <cellStyle name="40% - Accent4 8 2" xfId="1783" xr:uid="{00000000-0005-0000-0000-0000F5060000}"/>
    <cellStyle name="40% - Accent4 8 2 2" xfId="1784" xr:uid="{00000000-0005-0000-0000-0000F6060000}"/>
    <cellStyle name="40% - Accent4 8 2 2 2" xfId="1785" xr:uid="{00000000-0005-0000-0000-0000F7060000}"/>
    <cellStyle name="40% - Accent4 8 2 2 2 2" xfId="1786" xr:uid="{00000000-0005-0000-0000-0000F8060000}"/>
    <cellStyle name="40% - Accent4 8 2 2 3" xfId="1787" xr:uid="{00000000-0005-0000-0000-0000F9060000}"/>
    <cellStyle name="40% - Accent4 8 2 2 4" xfId="1788" xr:uid="{00000000-0005-0000-0000-0000FA060000}"/>
    <cellStyle name="40% - Accent4 8 2 3" xfId="1789" xr:uid="{00000000-0005-0000-0000-0000FB060000}"/>
    <cellStyle name="40% - Accent4 8 2 3 2" xfId="1790" xr:uid="{00000000-0005-0000-0000-0000FC060000}"/>
    <cellStyle name="40% - Accent4 8 2 4" xfId="1791" xr:uid="{00000000-0005-0000-0000-0000FD060000}"/>
    <cellStyle name="40% - Accent4 8 2 5" xfId="1792" xr:uid="{00000000-0005-0000-0000-0000FE060000}"/>
    <cellStyle name="40% - Accent4 8 3" xfId="1793" xr:uid="{00000000-0005-0000-0000-0000FF060000}"/>
    <cellStyle name="40% - Accent4 8 3 2" xfId="1794" xr:uid="{00000000-0005-0000-0000-000000070000}"/>
    <cellStyle name="40% - Accent4 8 3 2 2" xfId="1795" xr:uid="{00000000-0005-0000-0000-000001070000}"/>
    <cellStyle name="40% - Accent4 8 3 3" xfId="1796" xr:uid="{00000000-0005-0000-0000-000002070000}"/>
    <cellStyle name="40% - Accent4 8 3 4" xfId="1797" xr:uid="{00000000-0005-0000-0000-000003070000}"/>
    <cellStyle name="40% - Accent4 8 4" xfId="1798" xr:uid="{00000000-0005-0000-0000-000004070000}"/>
    <cellStyle name="40% - Accent4 8 4 2" xfId="1799" xr:uid="{00000000-0005-0000-0000-000005070000}"/>
    <cellStyle name="40% - Accent4 8 5" xfId="1800" xr:uid="{00000000-0005-0000-0000-000006070000}"/>
    <cellStyle name="40% - Accent4 8 6" xfId="1801" xr:uid="{00000000-0005-0000-0000-000007070000}"/>
    <cellStyle name="40% - Accent4 9" xfId="1802" xr:uid="{00000000-0005-0000-0000-000008070000}"/>
    <cellStyle name="40% - Accent4 9 2" xfId="1803" xr:uid="{00000000-0005-0000-0000-000009070000}"/>
    <cellStyle name="40% - Accent4 9 2 2" xfId="1804" xr:uid="{00000000-0005-0000-0000-00000A070000}"/>
    <cellStyle name="40% - Accent4 9 2 2 2" xfId="1805" xr:uid="{00000000-0005-0000-0000-00000B070000}"/>
    <cellStyle name="40% - Accent4 9 2 2 2 2" xfId="1806" xr:uid="{00000000-0005-0000-0000-00000C070000}"/>
    <cellStyle name="40% - Accent4 9 2 2 3" xfId="1807" xr:uid="{00000000-0005-0000-0000-00000D070000}"/>
    <cellStyle name="40% - Accent4 9 2 2 4" xfId="1808" xr:uid="{00000000-0005-0000-0000-00000E070000}"/>
    <cellStyle name="40% - Accent4 9 2 3" xfId="1809" xr:uid="{00000000-0005-0000-0000-00000F070000}"/>
    <cellStyle name="40% - Accent4 9 2 3 2" xfId="1810" xr:uid="{00000000-0005-0000-0000-000010070000}"/>
    <cellStyle name="40% - Accent4 9 2 4" xfId="1811" xr:uid="{00000000-0005-0000-0000-000011070000}"/>
    <cellStyle name="40% - Accent4 9 2 5" xfId="1812" xr:uid="{00000000-0005-0000-0000-000012070000}"/>
    <cellStyle name="40% - Accent4 9 3" xfId="1813" xr:uid="{00000000-0005-0000-0000-000013070000}"/>
    <cellStyle name="40% - Accent4 9 3 2" xfId="1814" xr:uid="{00000000-0005-0000-0000-000014070000}"/>
    <cellStyle name="40% - Accent4 9 3 2 2" xfId="1815" xr:uid="{00000000-0005-0000-0000-000015070000}"/>
    <cellStyle name="40% - Accent4 9 3 3" xfId="1816" xr:uid="{00000000-0005-0000-0000-000016070000}"/>
    <cellStyle name="40% - Accent4 9 3 4" xfId="1817" xr:uid="{00000000-0005-0000-0000-000017070000}"/>
    <cellStyle name="40% - Accent4 9 4" xfId="1818" xr:uid="{00000000-0005-0000-0000-000018070000}"/>
    <cellStyle name="40% - Accent4 9 4 2" xfId="1819" xr:uid="{00000000-0005-0000-0000-000019070000}"/>
    <cellStyle name="40% - Accent4 9 5" xfId="1820" xr:uid="{00000000-0005-0000-0000-00001A070000}"/>
    <cellStyle name="40% - Accent4 9 6" xfId="1821" xr:uid="{00000000-0005-0000-0000-00001B070000}"/>
    <cellStyle name="40% - Accent5 10" xfId="1822" xr:uid="{00000000-0005-0000-0000-00001C070000}"/>
    <cellStyle name="40% - Accent5 10 2" xfId="1823" xr:uid="{00000000-0005-0000-0000-00001D070000}"/>
    <cellStyle name="40% - Accent5 10 2 2" xfId="1824" xr:uid="{00000000-0005-0000-0000-00001E070000}"/>
    <cellStyle name="40% - Accent5 10 2 2 2" xfId="1825" xr:uid="{00000000-0005-0000-0000-00001F070000}"/>
    <cellStyle name="40% - Accent5 10 2 3" xfId="1826" xr:uid="{00000000-0005-0000-0000-000020070000}"/>
    <cellStyle name="40% - Accent5 10 2 4" xfId="1827" xr:uid="{00000000-0005-0000-0000-000021070000}"/>
    <cellStyle name="40% - Accent5 10 3" xfId="1828" xr:uid="{00000000-0005-0000-0000-000022070000}"/>
    <cellStyle name="40% - Accent5 10 3 2" xfId="1829" xr:uid="{00000000-0005-0000-0000-000023070000}"/>
    <cellStyle name="40% - Accent5 10 4" xfId="1830" xr:uid="{00000000-0005-0000-0000-000024070000}"/>
    <cellStyle name="40% - Accent5 10 5" xfId="1831" xr:uid="{00000000-0005-0000-0000-000025070000}"/>
    <cellStyle name="40% - Accent5 11" xfId="1832" xr:uid="{00000000-0005-0000-0000-000026070000}"/>
    <cellStyle name="40% - Accent5 11 2" xfId="1833" xr:uid="{00000000-0005-0000-0000-000027070000}"/>
    <cellStyle name="40% - Accent5 11 2 2" xfId="1834" xr:uid="{00000000-0005-0000-0000-000028070000}"/>
    <cellStyle name="40% - Accent5 11 2 2 2" xfId="1835" xr:uid="{00000000-0005-0000-0000-000029070000}"/>
    <cellStyle name="40% - Accent5 11 2 3" xfId="1836" xr:uid="{00000000-0005-0000-0000-00002A070000}"/>
    <cellStyle name="40% - Accent5 11 2 4" xfId="1837" xr:uid="{00000000-0005-0000-0000-00002B070000}"/>
    <cellStyle name="40% - Accent5 11 3" xfId="1838" xr:uid="{00000000-0005-0000-0000-00002C070000}"/>
    <cellStyle name="40% - Accent5 11 3 2" xfId="1839" xr:uid="{00000000-0005-0000-0000-00002D070000}"/>
    <cellStyle name="40% - Accent5 11 4" xfId="1840" xr:uid="{00000000-0005-0000-0000-00002E070000}"/>
    <cellStyle name="40% - Accent5 11 5" xfId="1841" xr:uid="{00000000-0005-0000-0000-00002F070000}"/>
    <cellStyle name="40% - Accent5 12" xfId="1842" xr:uid="{00000000-0005-0000-0000-000030070000}"/>
    <cellStyle name="40% - Accent5 12 2" xfId="1843" xr:uid="{00000000-0005-0000-0000-000031070000}"/>
    <cellStyle name="40% - Accent5 12 2 2" xfId="1844" xr:uid="{00000000-0005-0000-0000-000032070000}"/>
    <cellStyle name="40% - Accent5 12 3" xfId="1845" xr:uid="{00000000-0005-0000-0000-000033070000}"/>
    <cellStyle name="40% - Accent5 12 4" xfId="1846" xr:uid="{00000000-0005-0000-0000-000034070000}"/>
    <cellStyle name="40% - Accent5 13" xfId="1847" xr:uid="{00000000-0005-0000-0000-000035070000}"/>
    <cellStyle name="40% - Accent5 13 2" xfId="1848" xr:uid="{00000000-0005-0000-0000-000036070000}"/>
    <cellStyle name="40% - Accent5 14" xfId="1849" xr:uid="{00000000-0005-0000-0000-000037070000}"/>
    <cellStyle name="40% - Accent5 14 2" xfId="1850" xr:uid="{00000000-0005-0000-0000-000038070000}"/>
    <cellStyle name="40% - Accent5 15" xfId="1851" xr:uid="{00000000-0005-0000-0000-000039070000}"/>
    <cellStyle name="40% - Accent5 16" xfId="1852" xr:uid="{00000000-0005-0000-0000-00003A070000}"/>
    <cellStyle name="40% - Accent5 2" xfId="1853" xr:uid="{00000000-0005-0000-0000-00003B070000}"/>
    <cellStyle name="40% - Accent5 2 2" xfId="1854" xr:uid="{00000000-0005-0000-0000-00003C070000}"/>
    <cellStyle name="40% - Accent5 2 2 2" xfId="1855" xr:uid="{00000000-0005-0000-0000-00003D070000}"/>
    <cellStyle name="40% - Accent5 2 2 2 2" xfId="1856" xr:uid="{00000000-0005-0000-0000-00003E070000}"/>
    <cellStyle name="40% - Accent5 2 2 2 2 2" xfId="1857" xr:uid="{00000000-0005-0000-0000-00003F070000}"/>
    <cellStyle name="40% - Accent5 2 2 2 2 2 2" xfId="1858" xr:uid="{00000000-0005-0000-0000-000040070000}"/>
    <cellStyle name="40% - Accent5 2 2 2 2 3" xfId="1859" xr:uid="{00000000-0005-0000-0000-000041070000}"/>
    <cellStyle name="40% - Accent5 2 2 2 2 4" xfId="1860" xr:uid="{00000000-0005-0000-0000-000042070000}"/>
    <cellStyle name="40% - Accent5 2 2 2 3" xfId="1861" xr:uid="{00000000-0005-0000-0000-000043070000}"/>
    <cellStyle name="40% - Accent5 2 2 2 3 2" xfId="1862" xr:uid="{00000000-0005-0000-0000-000044070000}"/>
    <cellStyle name="40% - Accent5 2 2 2 4" xfId="1863" xr:uid="{00000000-0005-0000-0000-000045070000}"/>
    <cellStyle name="40% - Accent5 2 2 2 5" xfId="1864" xr:uid="{00000000-0005-0000-0000-000046070000}"/>
    <cellStyle name="40% - Accent5 2 2 3" xfId="1865" xr:uid="{00000000-0005-0000-0000-000047070000}"/>
    <cellStyle name="40% - Accent5 2 2 3 2" xfId="1866" xr:uid="{00000000-0005-0000-0000-000048070000}"/>
    <cellStyle name="40% - Accent5 2 2 3 2 2" xfId="1867" xr:uid="{00000000-0005-0000-0000-000049070000}"/>
    <cellStyle name="40% - Accent5 2 2 3 3" xfId="1868" xr:uid="{00000000-0005-0000-0000-00004A070000}"/>
    <cellStyle name="40% - Accent5 2 2 3 4" xfId="1869" xr:uid="{00000000-0005-0000-0000-00004B070000}"/>
    <cellStyle name="40% - Accent5 2 2 4" xfId="1870" xr:uid="{00000000-0005-0000-0000-00004C070000}"/>
    <cellStyle name="40% - Accent5 2 2 4 2" xfId="1871" xr:uid="{00000000-0005-0000-0000-00004D070000}"/>
    <cellStyle name="40% - Accent5 2 2 5" xfId="1872" xr:uid="{00000000-0005-0000-0000-00004E070000}"/>
    <cellStyle name="40% - Accent5 2 2 5 2" xfId="1873" xr:uid="{00000000-0005-0000-0000-00004F070000}"/>
    <cellStyle name="40% - Accent5 2 2 6" xfId="1874" xr:uid="{00000000-0005-0000-0000-000050070000}"/>
    <cellStyle name="40% - Accent5 2 2 7" xfId="1875" xr:uid="{00000000-0005-0000-0000-000051070000}"/>
    <cellStyle name="40% - Accent5 2 3" xfId="1876" xr:uid="{00000000-0005-0000-0000-000052070000}"/>
    <cellStyle name="40% - Accent5 2 3 2" xfId="1877" xr:uid="{00000000-0005-0000-0000-000053070000}"/>
    <cellStyle name="40% - Accent5 2 3 2 2" xfId="1878" xr:uid="{00000000-0005-0000-0000-000054070000}"/>
    <cellStyle name="40% - Accent5 2 3 2 2 2" xfId="1879" xr:uid="{00000000-0005-0000-0000-000055070000}"/>
    <cellStyle name="40% - Accent5 2 3 2 3" xfId="1880" xr:uid="{00000000-0005-0000-0000-000056070000}"/>
    <cellStyle name="40% - Accent5 2 3 2 4" xfId="1881" xr:uid="{00000000-0005-0000-0000-000057070000}"/>
    <cellStyle name="40% - Accent5 2 3 3" xfId="1882" xr:uid="{00000000-0005-0000-0000-000058070000}"/>
    <cellStyle name="40% - Accent5 2 3 3 2" xfId="1883" xr:uid="{00000000-0005-0000-0000-000059070000}"/>
    <cellStyle name="40% - Accent5 2 3 4" xfId="1884" xr:uid="{00000000-0005-0000-0000-00005A070000}"/>
    <cellStyle name="40% - Accent5 2 3 5" xfId="1885" xr:uid="{00000000-0005-0000-0000-00005B070000}"/>
    <cellStyle name="40% - Accent5 2 4" xfId="1886" xr:uid="{00000000-0005-0000-0000-00005C070000}"/>
    <cellStyle name="40% - Accent5 2 4 2" xfId="1887" xr:uid="{00000000-0005-0000-0000-00005D070000}"/>
    <cellStyle name="40% - Accent5 2 4 2 2" xfId="1888" xr:uid="{00000000-0005-0000-0000-00005E070000}"/>
    <cellStyle name="40% - Accent5 2 4 3" xfId="1889" xr:uid="{00000000-0005-0000-0000-00005F070000}"/>
    <cellStyle name="40% - Accent5 2 4 4" xfId="1890" xr:uid="{00000000-0005-0000-0000-000060070000}"/>
    <cellStyle name="40% - Accent5 2 5" xfId="1891" xr:uid="{00000000-0005-0000-0000-000061070000}"/>
    <cellStyle name="40% - Accent5 2 5 2" xfId="1892" xr:uid="{00000000-0005-0000-0000-000062070000}"/>
    <cellStyle name="40% - Accent5 2 6" xfId="1893" xr:uid="{00000000-0005-0000-0000-000063070000}"/>
    <cellStyle name="40% - Accent5 2 6 2" xfId="1894" xr:uid="{00000000-0005-0000-0000-000064070000}"/>
    <cellStyle name="40% - Accent5 2 7" xfId="1895" xr:uid="{00000000-0005-0000-0000-000065070000}"/>
    <cellStyle name="40% - Accent5 2 8" xfId="1896" xr:uid="{00000000-0005-0000-0000-000066070000}"/>
    <cellStyle name="40% - Accent5 3" xfId="1897" xr:uid="{00000000-0005-0000-0000-000067070000}"/>
    <cellStyle name="40% - Accent5 3 2" xfId="1898" xr:uid="{00000000-0005-0000-0000-000068070000}"/>
    <cellStyle name="40% - Accent5 4" xfId="1899" xr:uid="{00000000-0005-0000-0000-000069070000}"/>
    <cellStyle name="40% - Accent5 4 2" xfId="1900" xr:uid="{00000000-0005-0000-0000-00006A070000}"/>
    <cellStyle name="40% - Accent5 4 2 2" xfId="1901" xr:uid="{00000000-0005-0000-0000-00006B070000}"/>
    <cellStyle name="40% - Accent5 4 2 2 2" xfId="1902" xr:uid="{00000000-0005-0000-0000-00006C070000}"/>
    <cellStyle name="40% - Accent5 4 2 2 2 2" xfId="1903" xr:uid="{00000000-0005-0000-0000-00006D070000}"/>
    <cellStyle name="40% - Accent5 4 2 2 3" xfId="1904" xr:uid="{00000000-0005-0000-0000-00006E070000}"/>
    <cellStyle name="40% - Accent5 4 2 2 4" xfId="1905" xr:uid="{00000000-0005-0000-0000-00006F070000}"/>
    <cellStyle name="40% - Accent5 4 2 3" xfId="1906" xr:uid="{00000000-0005-0000-0000-000070070000}"/>
    <cellStyle name="40% - Accent5 4 2 3 2" xfId="1907" xr:uid="{00000000-0005-0000-0000-000071070000}"/>
    <cellStyle name="40% - Accent5 4 2 4" xfId="1908" xr:uid="{00000000-0005-0000-0000-000072070000}"/>
    <cellStyle name="40% - Accent5 4 2 5" xfId="1909" xr:uid="{00000000-0005-0000-0000-000073070000}"/>
    <cellStyle name="40% - Accent5 4 3" xfId="1910" xr:uid="{00000000-0005-0000-0000-000074070000}"/>
    <cellStyle name="40% - Accent5 4 3 2" xfId="1911" xr:uid="{00000000-0005-0000-0000-000075070000}"/>
    <cellStyle name="40% - Accent5 4 3 2 2" xfId="1912" xr:uid="{00000000-0005-0000-0000-000076070000}"/>
    <cellStyle name="40% - Accent5 4 3 3" xfId="1913" xr:uid="{00000000-0005-0000-0000-000077070000}"/>
    <cellStyle name="40% - Accent5 4 3 4" xfId="1914" xr:uid="{00000000-0005-0000-0000-000078070000}"/>
    <cellStyle name="40% - Accent5 4 4" xfId="1915" xr:uid="{00000000-0005-0000-0000-000079070000}"/>
    <cellStyle name="40% - Accent5 4 4 2" xfId="1916" xr:uid="{00000000-0005-0000-0000-00007A070000}"/>
    <cellStyle name="40% - Accent5 4 5" xfId="1917" xr:uid="{00000000-0005-0000-0000-00007B070000}"/>
    <cellStyle name="40% - Accent5 4 5 2" xfId="1918" xr:uid="{00000000-0005-0000-0000-00007C070000}"/>
    <cellStyle name="40% - Accent5 4 6" xfId="1919" xr:uid="{00000000-0005-0000-0000-00007D070000}"/>
    <cellStyle name="40% - Accent5 4 7" xfId="1920" xr:uid="{00000000-0005-0000-0000-00007E070000}"/>
    <cellStyle name="40% - Accent5 5" xfId="1921" xr:uid="{00000000-0005-0000-0000-00007F070000}"/>
    <cellStyle name="40% - Accent5 5 2" xfId="1922" xr:uid="{00000000-0005-0000-0000-000080070000}"/>
    <cellStyle name="40% - Accent5 5 2 2" xfId="1923" xr:uid="{00000000-0005-0000-0000-000081070000}"/>
    <cellStyle name="40% - Accent5 5 2 2 2" xfId="1924" xr:uid="{00000000-0005-0000-0000-000082070000}"/>
    <cellStyle name="40% - Accent5 5 2 2 2 2" xfId="1925" xr:uid="{00000000-0005-0000-0000-000083070000}"/>
    <cellStyle name="40% - Accent5 5 2 2 3" xfId="1926" xr:uid="{00000000-0005-0000-0000-000084070000}"/>
    <cellStyle name="40% - Accent5 5 2 2 4" xfId="1927" xr:uid="{00000000-0005-0000-0000-000085070000}"/>
    <cellStyle name="40% - Accent5 5 2 3" xfId="1928" xr:uid="{00000000-0005-0000-0000-000086070000}"/>
    <cellStyle name="40% - Accent5 5 2 3 2" xfId="1929" xr:uid="{00000000-0005-0000-0000-000087070000}"/>
    <cellStyle name="40% - Accent5 5 2 4" xfId="1930" xr:uid="{00000000-0005-0000-0000-000088070000}"/>
    <cellStyle name="40% - Accent5 5 2 5" xfId="1931" xr:uid="{00000000-0005-0000-0000-000089070000}"/>
    <cellStyle name="40% - Accent5 5 3" xfId="1932" xr:uid="{00000000-0005-0000-0000-00008A070000}"/>
    <cellStyle name="40% - Accent5 5 3 2" xfId="1933" xr:uid="{00000000-0005-0000-0000-00008B070000}"/>
    <cellStyle name="40% - Accent5 5 3 2 2" xfId="1934" xr:uid="{00000000-0005-0000-0000-00008C070000}"/>
    <cellStyle name="40% - Accent5 5 3 3" xfId="1935" xr:uid="{00000000-0005-0000-0000-00008D070000}"/>
    <cellStyle name="40% - Accent5 5 3 4" xfId="1936" xr:uid="{00000000-0005-0000-0000-00008E070000}"/>
    <cellStyle name="40% - Accent5 5 4" xfId="1937" xr:uid="{00000000-0005-0000-0000-00008F070000}"/>
    <cellStyle name="40% - Accent5 5 4 2" xfId="1938" xr:uid="{00000000-0005-0000-0000-000090070000}"/>
    <cellStyle name="40% - Accent5 5 5" xfId="1939" xr:uid="{00000000-0005-0000-0000-000091070000}"/>
    <cellStyle name="40% - Accent5 5 5 2" xfId="1940" xr:uid="{00000000-0005-0000-0000-000092070000}"/>
    <cellStyle name="40% - Accent5 5 6" xfId="1941" xr:uid="{00000000-0005-0000-0000-000093070000}"/>
    <cellStyle name="40% - Accent5 5 7" xfId="1942" xr:uid="{00000000-0005-0000-0000-000094070000}"/>
    <cellStyle name="40% - Accent5 6" xfId="1943" xr:uid="{00000000-0005-0000-0000-000095070000}"/>
    <cellStyle name="40% - Accent5 7" xfId="1944" xr:uid="{00000000-0005-0000-0000-000096070000}"/>
    <cellStyle name="40% - Accent5 7 2" xfId="1945" xr:uid="{00000000-0005-0000-0000-000097070000}"/>
    <cellStyle name="40% - Accent5 7 2 2" xfId="1946" xr:uid="{00000000-0005-0000-0000-000098070000}"/>
    <cellStyle name="40% - Accent5 7 2 2 2" xfId="1947" xr:uid="{00000000-0005-0000-0000-000099070000}"/>
    <cellStyle name="40% - Accent5 7 2 2 2 2" xfId="1948" xr:uid="{00000000-0005-0000-0000-00009A070000}"/>
    <cellStyle name="40% - Accent5 7 2 2 3" xfId="1949" xr:uid="{00000000-0005-0000-0000-00009B070000}"/>
    <cellStyle name="40% - Accent5 7 2 2 4" xfId="1950" xr:uid="{00000000-0005-0000-0000-00009C070000}"/>
    <cellStyle name="40% - Accent5 7 2 3" xfId="1951" xr:uid="{00000000-0005-0000-0000-00009D070000}"/>
    <cellStyle name="40% - Accent5 7 2 3 2" xfId="1952" xr:uid="{00000000-0005-0000-0000-00009E070000}"/>
    <cellStyle name="40% - Accent5 7 2 4" xfId="1953" xr:uid="{00000000-0005-0000-0000-00009F070000}"/>
    <cellStyle name="40% - Accent5 7 2 5" xfId="1954" xr:uid="{00000000-0005-0000-0000-0000A0070000}"/>
    <cellStyle name="40% - Accent5 7 3" xfId="1955" xr:uid="{00000000-0005-0000-0000-0000A1070000}"/>
    <cellStyle name="40% - Accent5 7 3 2" xfId="1956" xr:uid="{00000000-0005-0000-0000-0000A2070000}"/>
    <cellStyle name="40% - Accent5 7 3 2 2" xfId="1957" xr:uid="{00000000-0005-0000-0000-0000A3070000}"/>
    <cellStyle name="40% - Accent5 7 3 3" xfId="1958" xr:uid="{00000000-0005-0000-0000-0000A4070000}"/>
    <cellStyle name="40% - Accent5 7 3 4" xfId="1959" xr:uid="{00000000-0005-0000-0000-0000A5070000}"/>
    <cellStyle name="40% - Accent5 7 4" xfId="1960" xr:uid="{00000000-0005-0000-0000-0000A6070000}"/>
    <cellStyle name="40% - Accent5 7 4 2" xfId="1961" xr:uid="{00000000-0005-0000-0000-0000A7070000}"/>
    <cellStyle name="40% - Accent5 7 5" xfId="1962" xr:uid="{00000000-0005-0000-0000-0000A8070000}"/>
    <cellStyle name="40% - Accent5 7 6" xfId="1963" xr:uid="{00000000-0005-0000-0000-0000A9070000}"/>
    <cellStyle name="40% - Accent5 8" xfId="1964" xr:uid="{00000000-0005-0000-0000-0000AA070000}"/>
    <cellStyle name="40% - Accent5 8 2" xfId="1965" xr:uid="{00000000-0005-0000-0000-0000AB070000}"/>
    <cellStyle name="40% - Accent5 8 2 2" xfId="1966" xr:uid="{00000000-0005-0000-0000-0000AC070000}"/>
    <cellStyle name="40% - Accent5 8 2 2 2" xfId="1967" xr:uid="{00000000-0005-0000-0000-0000AD070000}"/>
    <cellStyle name="40% - Accent5 8 2 2 2 2" xfId="1968" xr:uid="{00000000-0005-0000-0000-0000AE070000}"/>
    <cellStyle name="40% - Accent5 8 2 2 3" xfId="1969" xr:uid="{00000000-0005-0000-0000-0000AF070000}"/>
    <cellStyle name="40% - Accent5 8 2 2 4" xfId="1970" xr:uid="{00000000-0005-0000-0000-0000B0070000}"/>
    <cellStyle name="40% - Accent5 8 2 3" xfId="1971" xr:uid="{00000000-0005-0000-0000-0000B1070000}"/>
    <cellStyle name="40% - Accent5 8 2 3 2" xfId="1972" xr:uid="{00000000-0005-0000-0000-0000B2070000}"/>
    <cellStyle name="40% - Accent5 8 2 4" xfId="1973" xr:uid="{00000000-0005-0000-0000-0000B3070000}"/>
    <cellStyle name="40% - Accent5 8 2 5" xfId="1974" xr:uid="{00000000-0005-0000-0000-0000B4070000}"/>
    <cellStyle name="40% - Accent5 8 3" xfId="1975" xr:uid="{00000000-0005-0000-0000-0000B5070000}"/>
    <cellStyle name="40% - Accent5 8 3 2" xfId="1976" xr:uid="{00000000-0005-0000-0000-0000B6070000}"/>
    <cellStyle name="40% - Accent5 8 3 2 2" xfId="1977" xr:uid="{00000000-0005-0000-0000-0000B7070000}"/>
    <cellStyle name="40% - Accent5 8 3 3" xfId="1978" xr:uid="{00000000-0005-0000-0000-0000B8070000}"/>
    <cellStyle name="40% - Accent5 8 3 4" xfId="1979" xr:uid="{00000000-0005-0000-0000-0000B9070000}"/>
    <cellStyle name="40% - Accent5 8 4" xfId="1980" xr:uid="{00000000-0005-0000-0000-0000BA070000}"/>
    <cellStyle name="40% - Accent5 8 4 2" xfId="1981" xr:uid="{00000000-0005-0000-0000-0000BB070000}"/>
    <cellStyle name="40% - Accent5 8 5" xfId="1982" xr:uid="{00000000-0005-0000-0000-0000BC070000}"/>
    <cellStyle name="40% - Accent5 8 6" xfId="1983" xr:uid="{00000000-0005-0000-0000-0000BD070000}"/>
    <cellStyle name="40% - Accent5 9" xfId="1984" xr:uid="{00000000-0005-0000-0000-0000BE070000}"/>
    <cellStyle name="40% - Accent5 9 2" xfId="1985" xr:uid="{00000000-0005-0000-0000-0000BF070000}"/>
    <cellStyle name="40% - Accent5 9 2 2" xfId="1986" xr:uid="{00000000-0005-0000-0000-0000C0070000}"/>
    <cellStyle name="40% - Accent5 9 2 2 2" xfId="1987" xr:uid="{00000000-0005-0000-0000-0000C1070000}"/>
    <cellStyle name="40% - Accent5 9 2 2 2 2" xfId="1988" xr:uid="{00000000-0005-0000-0000-0000C2070000}"/>
    <cellStyle name="40% - Accent5 9 2 2 3" xfId="1989" xr:uid="{00000000-0005-0000-0000-0000C3070000}"/>
    <cellStyle name="40% - Accent5 9 2 2 4" xfId="1990" xr:uid="{00000000-0005-0000-0000-0000C4070000}"/>
    <cellStyle name="40% - Accent5 9 2 3" xfId="1991" xr:uid="{00000000-0005-0000-0000-0000C5070000}"/>
    <cellStyle name="40% - Accent5 9 2 3 2" xfId="1992" xr:uid="{00000000-0005-0000-0000-0000C6070000}"/>
    <cellStyle name="40% - Accent5 9 2 4" xfId="1993" xr:uid="{00000000-0005-0000-0000-0000C7070000}"/>
    <cellStyle name="40% - Accent5 9 2 5" xfId="1994" xr:uid="{00000000-0005-0000-0000-0000C8070000}"/>
    <cellStyle name="40% - Accent5 9 3" xfId="1995" xr:uid="{00000000-0005-0000-0000-0000C9070000}"/>
    <cellStyle name="40% - Accent5 9 3 2" xfId="1996" xr:uid="{00000000-0005-0000-0000-0000CA070000}"/>
    <cellStyle name="40% - Accent5 9 3 2 2" xfId="1997" xr:uid="{00000000-0005-0000-0000-0000CB070000}"/>
    <cellStyle name="40% - Accent5 9 3 3" xfId="1998" xr:uid="{00000000-0005-0000-0000-0000CC070000}"/>
    <cellStyle name="40% - Accent5 9 3 4" xfId="1999" xr:uid="{00000000-0005-0000-0000-0000CD070000}"/>
    <cellStyle name="40% - Accent5 9 4" xfId="2000" xr:uid="{00000000-0005-0000-0000-0000CE070000}"/>
    <cellStyle name="40% - Accent5 9 4 2" xfId="2001" xr:uid="{00000000-0005-0000-0000-0000CF070000}"/>
    <cellStyle name="40% - Accent5 9 5" xfId="2002" xr:uid="{00000000-0005-0000-0000-0000D0070000}"/>
    <cellStyle name="40% - Accent5 9 6" xfId="2003" xr:uid="{00000000-0005-0000-0000-0000D1070000}"/>
    <cellStyle name="40% - Accent6 10" xfId="2004" xr:uid="{00000000-0005-0000-0000-0000D2070000}"/>
    <cellStyle name="40% - Accent6 10 2" xfId="2005" xr:uid="{00000000-0005-0000-0000-0000D3070000}"/>
    <cellStyle name="40% - Accent6 10 2 2" xfId="2006" xr:uid="{00000000-0005-0000-0000-0000D4070000}"/>
    <cellStyle name="40% - Accent6 10 2 2 2" xfId="2007" xr:uid="{00000000-0005-0000-0000-0000D5070000}"/>
    <cellStyle name="40% - Accent6 10 2 3" xfId="2008" xr:uid="{00000000-0005-0000-0000-0000D6070000}"/>
    <cellStyle name="40% - Accent6 10 2 4" xfId="2009" xr:uid="{00000000-0005-0000-0000-0000D7070000}"/>
    <cellStyle name="40% - Accent6 10 3" xfId="2010" xr:uid="{00000000-0005-0000-0000-0000D8070000}"/>
    <cellStyle name="40% - Accent6 10 3 2" xfId="2011" xr:uid="{00000000-0005-0000-0000-0000D9070000}"/>
    <cellStyle name="40% - Accent6 10 4" xfId="2012" xr:uid="{00000000-0005-0000-0000-0000DA070000}"/>
    <cellStyle name="40% - Accent6 10 5" xfId="2013" xr:uid="{00000000-0005-0000-0000-0000DB070000}"/>
    <cellStyle name="40% - Accent6 11" xfId="2014" xr:uid="{00000000-0005-0000-0000-0000DC070000}"/>
    <cellStyle name="40% - Accent6 11 2" xfId="2015" xr:uid="{00000000-0005-0000-0000-0000DD070000}"/>
    <cellStyle name="40% - Accent6 11 2 2" xfId="2016" xr:uid="{00000000-0005-0000-0000-0000DE070000}"/>
    <cellStyle name="40% - Accent6 11 2 2 2" xfId="2017" xr:uid="{00000000-0005-0000-0000-0000DF070000}"/>
    <cellStyle name="40% - Accent6 11 2 3" xfId="2018" xr:uid="{00000000-0005-0000-0000-0000E0070000}"/>
    <cellStyle name="40% - Accent6 11 2 4" xfId="2019" xr:uid="{00000000-0005-0000-0000-0000E1070000}"/>
    <cellStyle name="40% - Accent6 11 3" xfId="2020" xr:uid="{00000000-0005-0000-0000-0000E2070000}"/>
    <cellStyle name="40% - Accent6 11 3 2" xfId="2021" xr:uid="{00000000-0005-0000-0000-0000E3070000}"/>
    <cellStyle name="40% - Accent6 11 4" xfId="2022" xr:uid="{00000000-0005-0000-0000-0000E4070000}"/>
    <cellStyle name="40% - Accent6 11 5" xfId="2023" xr:uid="{00000000-0005-0000-0000-0000E5070000}"/>
    <cellStyle name="40% - Accent6 12" xfId="2024" xr:uid="{00000000-0005-0000-0000-0000E6070000}"/>
    <cellStyle name="40% - Accent6 12 2" xfId="2025" xr:uid="{00000000-0005-0000-0000-0000E7070000}"/>
    <cellStyle name="40% - Accent6 12 2 2" xfId="2026" xr:uid="{00000000-0005-0000-0000-0000E8070000}"/>
    <cellStyle name="40% - Accent6 12 3" xfId="2027" xr:uid="{00000000-0005-0000-0000-0000E9070000}"/>
    <cellStyle name="40% - Accent6 12 4" xfId="2028" xr:uid="{00000000-0005-0000-0000-0000EA070000}"/>
    <cellStyle name="40% - Accent6 13" xfId="2029" xr:uid="{00000000-0005-0000-0000-0000EB070000}"/>
    <cellStyle name="40% - Accent6 13 2" xfId="2030" xr:uid="{00000000-0005-0000-0000-0000EC070000}"/>
    <cellStyle name="40% - Accent6 14" xfId="2031" xr:uid="{00000000-0005-0000-0000-0000ED070000}"/>
    <cellStyle name="40% - Accent6 14 2" xfId="2032" xr:uid="{00000000-0005-0000-0000-0000EE070000}"/>
    <cellStyle name="40% - Accent6 15" xfId="2033" xr:uid="{00000000-0005-0000-0000-0000EF070000}"/>
    <cellStyle name="40% - Accent6 16" xfId="2034" xr:uid="{00000000-0005-0000-0000-0000F0070000}"/>
    <cellStyle name="40% - Accent6 2" xfId="2035" xr:uid="{00000000-0005-0000-0000-0000F1070000}"/>
    <cellStyle name="40% - Accent6 2 2" xfId="2036" xr:uid="{00000000-0005-0000-0000-0000F2070000}"/>
    <cellStyle name="40% - Accent6 2 2 2" xfId="2037" xr:uid="{00000000-0005-0000-0000-0000F3070000}"/>
    <cellStyle name="40% - Accent6 2 2 2 2" xfId="2038" xr:uid="{00000000-0005-0000-0000-0000F4070000}"/>
    <cellStyle name="40% - Accent6 2 2 2 2 2" xfId="2039" xr:uid="{00000000-0005-0000-0000-0000F5070000}"/>
    <cellStyle name="40% - Accent6 2 2 2 2 2 2" xfId="2040" xr:uid="{00000000-0005-0000-0000-0000F6070000}"/>
    <cellStyle name="40% - Accent6 2 2 2 2 3" xfId="2041" xr:uid="{00000000-0005-0000-0000-0000F7070000}"/>
    <cellStyle name="40% - Accent6 2 2 2 2 4" xfId="2042" xr:uid="{00000000-0005-0000-0000-0000F8070000}"/>
    <cellStyle name="40% - Accent6 2 2 2 3" xfId="2043" xr:uid="{00000000-0005-0000-0000-0000F9070000}"/>
    <cellStyle name="40% - Accent6 2 2 2 3 2" xfId="2044" xr:uid="{00000000-0005-0000-0000-0000FA070000}"/>
    <cellStyle name="40% - Accent6 2 2 2 4" xfId="2045" xr:uid="{00000000-0005-0000-0000-0000FB070000}"/>
    <cellStyle name="40% - Accent6 2 2 2 5" xfId="2046" xr:uid="{00000000-0005-0000-0000-0000FC070000}"/>
    <cellStyle name="40% - Accent6 2 2 3" xfId="2047" xr:uid="{00000000-0005-0000-0000-0000FD070000}"/>
    <cellStyle name="40% - Accent6 2 2 3 2" xfId="2048" xr:uid="{00000000-0005-0000-0000-0000FE070000}"/>
    <cellStyle name="40% - Accent6 2 2 3 2 2" xfId="2049" xr:uid="{00000000-0005-0000-0000-0000FF070000}"/>
    <cellStyle name="40% - Accent6 2 2 3 3" xfId="2050" xr:uid="{00000000-0005-0000-0000-000000080000}"/>
    <cellStyle name="40% - Accent6 2 2 3 4" xfId="2051" xr:uid="{00000000-0005-0000-0000-000001080000}"/>
    <cellStyle name="40% - Accent6 2 2 4" xfId="2052" xr:uid="{00000000-0005-0000-0000-000002080000}"/>
    <cellStyle name="40% - Accent6 2 2 4 2" xfId="2053" xr:uid="{00000000-0005-0000-0000-000003080000}"/>
    <cellStyle name="40% - Accent6 2 2 5" xfId="2054" xr:uid="{00000000-0005-0000-0000-000004080000}"/>
    <cellStyle name="40% - Accent6 2 2 5 2" xfId="2055" xr:uid="{00000000-0005-0000-0000-000005080000}"/>
    <cellStyle name="40% - Accent6 2 2 6" xfId="2056" xr:uid="{00000000-0005-0000-0000-000006080000}"/>
    <cellStyle name="40% - Accent6 2 2 7" xfId="2057" xr:uid="{00000000-0005-0000-0000-000007080000}"/>
    <cellStyle name="40% - Accent6 2 3" xfId="2058" xr:uid="{00000000-0005-0000-0000-000008080000}"/>
    <cellStyle name="40% - Accent6 2 3 2" xfId="2059" xr:uid="{00000000-0005-0000-0000-000009080000}"/>
    <cellStyle name="40% - Accent6 2 3 2 2" xfId="2060" xr:uid="{00000000-0005-0000-0000-00000A080000}"/>
    <cellStyle name="40% - Accent6 2 3 2 2 2" xfId="2061" xr:uid="{00000000-0005-0000-0000-00000B080000}"/>
    <cellStyle name="40% - Accent6 2 3 2 3" xfId="2062" xr:uid="{00000000-0005-0000-0000-00000C080000}"/>
    <cellStyle name="40% - Accent6 2 3 2 4" xfId="2063" xr:uid="{00000000-0005-0000-0000-00000D080000}"/>
    <cellStyle name="40% - Accent6 2 3 3" xfId="2064" xr:uid="{00000000-0005-0000-0000-00000E080000}"/>
    <cellStyle name="40% - Accent6 2 3 3 2" xfId="2065" xr:uid="{00000000-0005-0000-0000-00000F080000}"/>
    <cellStyle name="40% - Accent6 2 3 4" xfId="2066" xr:uid="{00000000-0005-0000-0000-000010080000}"/>
    <cellStyle name="40% - Accent6 2 3 5" xfId="2067" xr:uid="{00000000-0005-0000-0000-000011080000}"/>
    <cellStyle name="40% - Accent6 2 4" xfId="2068" xr:uid="{00000000-0005-0000-0000-000012080000}"/>
    <cellStyle name="40% - Accent6 2 4 2" xfId="2069" xr:uid="{00000000-0005-0000-0000-000013080000}"/>
    <cellStyle name="40% - Accent6 2 4 2 2" xfId="2070" xr:uid="{00000000-0005-0000-0000-000014080000}"/>
    <cellStyle name="40% - Accent6 2 4 3" xfId="2071" xr:uid="{00000000-0005-0000-0000-000015080000}"/>
    <cellStyle name="40% - Accent6 2 4 4" xfId="2072" xr:uid="{00000000-0005-0000-0000-000016080000}"/>
    <cellStyle name="40% - Accent6 2 5" xfId="2073" xr:uid="{00000000-0005-0000-0000-000017080000}"/>
    <cellStyle name="40% - Accent6 2 5 2" xfId="2074" xr:uid="{00000000-0005-0000-0000-000018080000}"/>
    <cellStyle name="40% - Accent6 2 6" xfId="2075" xr:uid="{00000000-0005-0000-0000-000019080000}"/>
    <cellStyle name="40% - Accent6 2 6 2" xfId="2076" xr:uid="{00000000-0005-0000-0000-00001A080000}"/>
    <cellStyle name="40% - Accent6 2 7" xfId="2077" xr:uid="{00000000-0005-0000-0000-00001B080000}"/>
    <cellStyle name="40% - Accent6 2 8" xfId="2078" xr:uid="{00000000-0005-0000-0000-00001C080000}"/>
    <cellStyle name="40% - Accent6 3" xfId="2079" xr:uid="{00000000-0005-0000-0000-00001D080000}"/>
    <cellStyle name="40% - Accent6 3 2" xfId="2080" xr:uid="{00000000-0005-0000-0000-00001E080000}"/>
    <cellStyle name="40% - Accent6 4" xfId="2081" xr:uid="{00000000-0005-0000-0000-00001F080000}"/>
    <cellStyle name="40% - Accent6 4 2" xfId="2082" xr:uid="{00000000-0005-0000-0000-000020080000}"/>
    <cellStyle name="40% - Accent6 4 2 2" xfId="2083" xr:uid="{00000000-0005-0000-0000-000021080000}"/>
    <cellStyle name="40% - Accent6 4 2 2 2" xfId="2084" xr:uid="{00000000-0005-0000-0000-000022080000}"/>
    <cellStyle name="40% - Accent6 4 2 2 2 2" xfId="2085" xr:uid="{00000000-0005-0000-0000-000023080000}"/>
    <cellStyle name="40% - Accent6 4 2 2 3" xfId="2086" xr:uid="{00000000-0005-0000-0000-000024080000}"/>
    <cellStyle name="40% - Accent6 4 2 2 4" xfId="2087" xr:uid="{00000000-0005-0000-0000-000025080000}"/>
    <cellStyle name="40% - Accent6 4 2 3" xfId="2088" xr:uid="{00000000-0005-0000-0000-000026080000}"/>
    <cellStyle name="40% - Accent6 4 2 3 2" xfId="2089" xr:uid="{00000000-0005-0000-0000-000027080000}"/>
    <cellStyle name="40% - Accent6 4 2 4" xfId="2090" xr:uid="{00000000-0005-0000-0000-000028080000}"/>
    <cellStyle name="40% - Accent6 4 2 5" xfId="2091" xr:uid="{00000000-0005-0000-0000-000029080000}"/>
    <cellStyle name="40% - Accent6 4 3" xfId="2092" xr:uid="{00000000-0005-0000-0000-00002A080000}"/>
    <cellStyle name="40% - Accent6 4 3 2" xfId="2093" xr:uid="{00000000-0005-0000-0000-00002B080000}"/>
    <cellStyle name="40% - Accent6 4 3 2 2" xfId="2094" xr:uid="{00000000-0005-0000-0000-00002C080000}"/>
    <cellStyle name="40% - Accent6 4 3 3" xfId="2095" xr:uid="{00000000-0005-0000-0000-00002D080000}"/>
    <cellStyle name="40% - Accent6 4 3 4" xfId="2096" xr:uid="{00000000-0005-0000-0000-00002E080000}"/>
    <cellStyle name="40% - Accent6 4 4" xfId="2097" xr:uid="{00000000-0005-0000-0000-00002F080000}"/>
    <cellStyle name="40% - Accent6 4 4 2" xfId="2098" xr:uid="{00000000-0005-0000-0000-000030080000}"/>
    <cellStyle name="40% - Accent6 4 5" xfId="2099" xr:uid="{00000000-0005-0000-0000-000031080000}"/>
    <cellStyle name="40% - Accent6 4 5 2" xfId="2100" xr:uid="{00000000-0005-0000-0000-000032080000}"/>
    <cellStyle name="40% - Accent6 4 6" xfId="2101" xr:uid="{00000000-0005-0000-0000-000033080000}"/>
    <cellStyle name="40% - Accent6 4 7" xfId="2102" xr:uid="{00000000-0005-0000-0000-000034080000}"/>
    <cellStyle name="40% - Accent6 5" xfId="2103" xr:uid="{00000000-0005-0000-0000-000035080000}"/>
    <cellStyle name="40% - Accent6 5 2" xfId="2104" xr:uid="{00000000-0005-0000-0000-000036080000}"/>
    <cellStyle name="40% - Accent6 5 2 2" xfId="2105" xr:uid="{00000000-0005-0000-0000-000037080000}"/>
    <cellStyle name="40% - Accent6 5 2 2 2" xfId="2106" xr:uid="{00000000-0005-0000-0000-000038080000}"/>
    <cellStyle name="40% - Accent6 5 2 2 2 2" xfId="2107" xr:uid="{00000000-0005-0000-0000-000039080000}"/>
    <cellStyle name="40% - Accent6 5 2 2 3" xfId="2108" xr:uid="{00000000-0005-0000-0000-00003A080000}"/>
    <cellStyle name="40% - Accent6 5 2 2 4" xfId="2109" xr:uid="{00000000-0005-0000-0000-00003B080000}"/>
    <cellStyle name="40% - Accent6 5 2 3" xfId="2110" xr:uid="{00000000-0005-0000-0000-00003C080000}"/>
    <cellStyle name="40% - Accent6 5 2 3 2" xfId="2111" xr:uid="{00000000-0005-0000-0000-00003D080000}"/>
    <cellStyle name="40% - Accent6 5 2 4" xfId="2112" xr:uid="{00000000-0005-0000-0000-00003E080000}"/>
    <cellStyle name="40% - Accent6 5 2 5" xfId="2113" xr:uid="{00000000-0005-0000-0000-00003F080000}"/>
    <cellStyle name="40% - Accent6 5 3" xfId="2114" xr:uid="{00000000-0005-0000-0000-000040080000}"/>
    <cellStyle name="40% - Accent6 5 3 2" xfId="2115" xr:uid="{00000000-0005-0000-0000-000041080000}"/>
    <cellStyle name="40% - Accent6 5 3 2 2" xfId="2116" xr:uid="{00000000-0005-0000-0000-000042080000}"/>
    <cellStyle name="40% - Accent6 5 3 3" xfId="2117" xr:uid="{00000000-0005-0000-0000-000043080000}"/>
    <cellStyle name="40% - Accent6 5 3 4" xfId="2118" xr:uid="{00000000-0005-0000-0000-000044080000}"/>
    <cellStyle name="40% - Accent6 5 4" xfId="2119" xr:uid="{00000000-0005-0000-0000-000045080000}"/>
    <cellStyle name="40% - Accent6 5 4 2" xfId="2120" xr:uid="{00000000-0005-0000-0000-000046080000}"/>
    <cellStyle name="40% - Accent6 5 5" xfId="2121" xr:uid="{00000000-0005-0000-0000-000047080000}"/>
    <cellStyle name="40% - Accent6 5 5 2" xfId="2122" xr:uid="{00000000-0005-0000-0000-000048080000}"/>
    <cellStyle name="40% - Accent6 5 6" xfId="2123" xr:uid="{00000000-0005-0000-0000-000049080000}"/>
    <cellStyle name="40% - Accent6 5 7" xfId="2124" xr:uid="{00000000-0005-0000-0000-00004A080000}"/>
    <cellStyle name="40% - Accent6 6" xfId="2125" xr:uid="{00000000-0005-0000-0000-00004B080000}"/>
    <cellStyle name="40% - Accent6 7" xfId="2126" xr:uid="{00000000-0005-0000-0000-00004C080000}"/>
    <cellStyle name="40% - Accent6 7 2" xfId="2127" xr:uid="{00000000-0005-0000-0000-00004D080000}"/>
    <cellStyle name="40% - Accent6 7 2 2" xfId="2128" xr:uid="{00000000-0005-0000-0000-00004E080000}"/>
    <cellStyle name="40% - Accent6 7 2 2 2" xfId="2129" xr:uid="{00000000-0005-0000-0000-00004F080000}"/>
    <cellStyle name="40% - Accent6 7 2 2 2 2" xfId="2130" xr:uid="{00000000-0005-0000-0000-000050080000}"/>
    <cellStyle name="40% - Accent6 7 2 2 3" xfId="2131" xr:uid="{00000000-0005-0000-0000-000051080000}"/>
    <cellStyle name="40% - Accent6 7 2 2 4" xfId="2132" xr:uid="{00000000-0005-0000-0000-000052080000}"/>
    <cellStyle name="40% - Accent6 7 2 3" xfId="2133" xr:uid="{00000000-0005-0000-0000-000053080000}"/>
    <cellStyle name="40% - Accent6 7 2 3 2" xfId="2134" xr:uid="{00000000-0005-0000-0000-000054080000}"/>
    <cellStyle name="40% - Accent6 7 2 4" xfId="2135" xr:uid="{00000000-0005-0000-0000-000055080000}"/>
    <cellStyle name="40% - Accent6 7 2 5" xfId="2136" xr:uid="{00000000-0005-0000-0000-000056080000}"/>
    <cellStyle name="40% - Accent6 7 3" xfId="2137" xr:uid="{00000000-0005-0000-0000-000057080000}"/>
    <cellStyle name="40% - Accent6 7 3 2" xfId="2138" xr:uid="{00000000-0005-0000-0000-000058080000}"/>
    <cellStyle name="40% - Accent6 7 3 2 2" xfId="2139" xr:uid="{00000000-0005-0000-0000-000059080000}"/>
    <cellStyle name="40% - Accent6 7 3 3" xfId="2140" xr:uid="{00000000-0005-0000-0000-00005A080000}"/>
    <cellStyle name="40% - Accent6 7 3 4" xfId="2141" xr:uid="{00000000-0005-0000-0000-00005B080000}"/>
    <cellStyle name="40% - Accent6 7 4" xfId="2142" xr:uid="{00000000-0005-0000-0000-00005C080000}"/>
    <cellStyle name="40% - Accent6 7 4 2" xfId="2143" xr:uid="{00000000-0005-0000-0000-00005D080000}"/>
    <cellStyle name="40% - Accent6 7 5" xfId="2144" xr:uid="{00000000-0005-0000-0000-00005E080000}"/>
    <cellStyle name="40% - Accent6 7 6" xfId="2145" xr:uid="{00000000-0005-0000-0000-00005F080000}"/>
    <cellStyle name="40% - Accent6 8" xfId="2146" xr:uid="{00000000-0005-0000-0000-000060080000}"/>
    <cellStyle name="40% - Accent6 8 2" xfId="2147" xr:uid="{00000000-0005-0000-0000-000061080000}"/>
    <cellStyle name="40% - Accent6 8 2 2" xfId="2148" xr:uid="{00000000-0005-0000-0000-000062080000}"/>
    <cellStyle name="40% - Accent6 8 2 2 2" xfId="2149" xr:uid="{00000000-0005-0000-0000-000063080000}"/>
    <cellStyle name="40% - Accent6 8 2 2 2 2" xfId="2150" xr:uid="{00000000-0005-0000-0000-000064080000}"/>
    <cellStyle name="40% - Accent6 8 2 2 3" xfId="2151" xr:uid="{00000000-0005-0000-0000-000065080000}"/>
    <cellStyle name="40% - Accent6 8 2 2 4" xfId="2152" xr:uid="{00000000-0005-0000-0000-000066080000}"/>
    <cellStyle name="40% - Accent6 8 2 3" xfId="2153" xr:uid="{00000000-0005-0000-0000-000067080000}"/>
    <cellStyle name="40% - Accent6 8 2 3 2" xfId="2154" xr:uid="{00000000-0005-0000-0000-000068080000}"/>
    <cellStyle name="40% - Accent6 8 2 4" xfId="2155" xr:uid="{00000000-0005-0000-0000-000069080000}"/>
    <cellStyle name="40% - Accent6 8 2 5" xfId="2156" xr:uid="{00000000-0005-0000-0000-00006A080000}"/>
    <cellStyle name="40% - Accent6 8 3" xfId="2157" xr:uid="{00000000-0005-0000-0000-00006B080000}"/>
    <cellStyle name="40% - Accent6 8 3 2" xfId="2158" xr:uid="{00000000-0005-0000-0000-00006C080000}"/>
    <cellStyle name="40% - Accent6 8 3 2 2" xfId="2159" xr:uid="{00000000-0005-0000-0000-00006D080000}"/>
    <cellStyle name="40% - Accent6 8 3 3" xfId="2160" xr:uid="{00000000-0005-0000-0000-00006E080000}"/>
    <cellStyle name="40% - Accent6 8 3 4" xfId="2161" xr:uid="{00000000-0005-0000-0000-00006F080000}"/>
    <cellStyle name="40% - Accent6 8 4" xfId="2162" xr:uid="{00000000-0005-0000-0000-000070080000}"/>
    <cellStyle name="40% - Accent6 8 4 2" xfId="2163" xr:uid="{00000000-0005-0000-0000-000071080000}"/>
    <cellStyle name="40% - Accent6 8 5" xfId="2164" xr:uid="{00000000-0005-0000-0000-000072080000}"/>
    <cellStyle name="40% - Accent6 8 6" xfId="2165" xr:uid="{00000000-0005-0000-0000-000073080000}"/>
    <cellStyle name="40% - Accent6 9" xfId="2166" xr:uid="{00000000-0005-0000-0000-000074080000}"/>
    <cellStyle name="40% - Accent6 9 2" xfId="2167" xr:uid="{00000000-0005-0000-0000-000075080000}"/>
    <cellStyle name="40% - Accent6 9 2 2" xfId="2168" xr:uid="{00000000-0005-0000-0000-000076080000}"/>
    <cellStyle name="40% - Accent6 9 2 2 2" xfId="2169" xr:uid="{00000000-0005-0000-0000-000077080000}"/>
    <cellStyle name="40% - Accent6 9 2 2 2 2" xfId="2170" xr:uid="{00000000-0005-0000-0000-000078080000}"/>
    <cellStyle name="40% - Accent6 9 2 2 3" xfId="2171" xr:uid="{00000000-0005-0000-0000-000079080000}"/>
    <cellStyle name="40% - Accent6 9 2 2 4" xfId="2172" xr:uid="{00000000-0005-0000-0000-00007A080000}"/>
    <cellStyle name="40% - Accent6 9 2 3" xfId="2173" xr:uid="{00000000-0005-0000-0000-00007B080000}"/>
    <cellStyle name="40% - Accent6 9 2 3 2" xfId="2174" xr:uid="{00000000-0005-0000-0000-00007C080000}"/>
    <cellStyle name="40% - Accent6 9 2 4" xfId="2175" xr:uid="{00000000-0005-0000-0000-00007D080000}"/>
    <cellStyle name="40% - Accent6 9 2 5" xfId="2176" xr:uid="{00000000-0005-0000-0000-00007E080000}"/>
    <cellStyle name="40% - Accent6 9 3" xfId="2177" xr:uid="{00000000-0005-0000-0000-00007F080000}"/>
    <cellStyle name="40% - Accent6 9 3 2" xfId="2178" xr:uid="{00000000-0005-0000-0000-000080080000}"/>
    <cellStyle name="40% - Accent6 9 3 2 2" xfId="2179" xr:uid="{00000000-0005-0000-0000-000081080000}"/>
    <cellStyle name="40% - Accent6 9 3 3" xfId="2180" xr:uid="{00000000-0005-0000-0000-000082080000}"/>
    <cellStyle name="40% - Accent6 9 3 4" xfId="2181" xr:uid="{00000000-0005-0000-0000-000083080000}"/>
    <cellStyle name="40% - Accent6 9 4" xfId="2182" xr:uid="{00000000-0005-0000-0000-000084080000}"/>
    <cellStyle name="40% - Accent6 9 4 2" xfId="2183" xr:uid="{00000000-0005-0000-0000-000085080000}"/>
    <cellStyle name="40% - Accent6 9 5" xfId="2184" xr:uid="{00000000-0005-0000-0000-000086080000}"/>
    <cellStyle name="40% - Accent6 9 6" xfId="2185" xr:uid="{00000000-0005-0000-0000-000087080000}"/>
    <cellStyle name="60% - Accent1 2" xfId="2186" xr:uid="{00000000-0005-0000-0000-000088080000}"/>
    <cellStyle name="60% - Accent1 3" xfId="2187" xr:uid="{00000000-0005-0000-0000-000089080000}"/>
    <cellStyle name="60% - Accent2 2" xfId="2188" xr:uid="{00000000-0005-0000-0000-00008A080000}"/>
    <cellStyle name="60% - Accent2 3" xfId="2189" xr:uid="{00000000-0005-0000-0000-00008B080000}"/>
    <cellStyle name="60% - Accent3 2" xfId="2190" xr:uid="{00000000-0005-0000-0000-00008C080000}"/>
    <cellStyle name="60% - Accent3 3" xfId="2191" xr:uid="{00000000-0005-0000-0000-00008D080000}"/>
    <cellStyle name="60% - Accent4 2" xfId="2192" xr:uid="{00000000-0005-0000-0000-00008E080000}"/>
    <cellStyle name="60% - Accent4 3" xfId="2193" xr:uid="{00000000-0005-0000-0000-00008F080000}"/>
    <cellStyle name="60% - Accent5 2" xfId="2194" xr:uid="{00000000-0005-0000-0000-000090080000}"/>
    <cellStyle name="60% - Accent5 3" xfId="2195" xr:uid="{00000000-0005-0000-0000-000091080000}"/>
    <cellStyle name="60% - Accent6 2" xfId="2196" xr:uid="{00000000-0005-0000-0000-000092080000}"/>
    <cellStyle name="60% - Accent6 3" xfId="2197" xr:uid="{00000000-0005-0000-0000-000093080000}"/>
    <cellStyle name="Accent1 2" xfId="2198" xr:uid="{00000000-0005-0000-0000-000094080000}"/>
    <cellStyle name="Accent1 3" xfId="2199" xr:uid="{00000000-0005-0000-0000-000095080000}"/>
    <cellStyle name="Accent2 2" xfId="2200" xr:uid="{00000000-0005-0000-0000-000096080000}"/>
    <cellStyle name="Accent2 3" xfId="2201" xr:uid="{00000000-0005-0000-0000-000097080000}"/>
    <cellStyle name="Accent3 2" xfId="2202" xr:uid="{00000000-0005-0000-0000-000098080000}"/>
    <cellStyle name="Accent3 3" xfId="2203" xr:uid="{00000000-0005-0000-0000-000099080000}"/>
    <cellStyle name="Accent4 2" xfId="2204" xr:uid="{00000000-0005-0000-0000-00009A080000}"/>
    <cellStyle name="Accent4 3" xfId="2205" xr:uid="{00000000-0005-0000-0000-00009B080000}"/>
    <cellStyle name="Accent5 2" xfId="2206" xr:uid="{00000000-0005-0000-0000-00009C080000}"/>
    <cellStyle name="Accent5 3" xfId="2207" xr:uid="{00000000-0005-0000-0000-00009D080000}"/>
    <cellStyle name="Accent6 2" xfId="2208" xr:uid="{00000000-0005-0000-0000-00009E080000}"/>
    <cellStyle name="Accent6 3" xfId="2209" xr:uid="{00000000-0005-0000-0000-00009F080000}"/>
    <cellStyle name="Bad 2" xfId="2210" xr:uid="{00000000-0005-0000-0000-0000A0080000}"/>
    <cellStyle name="Bad 3" xfId="2211" xr:uid="{00000000-0005-0000-0000-0000A1080000}"/>
    <cellStyle name="Calculation 2" xfId="2212" xr:uid="{00000000-0005-0000-0000-0000A2080000}"/>
    <cellStyle name="Calculation 3" xfId="2213" xr:uid="{00000000-0005-0000-0000-0000A3080000}"/>
    <cellStyle name="Check Cell 2" xfId="2214" xr:uid="{00000000-0005-0000-0000-0000A4080000}"/>
    <cellStyle name="Check Cell 3" xfId="2215" xr:uid="{00000000-0005-0000-0000-0000A5080000}"/>
    <cellStyle name="Comma" xfId="1" builtinId="3"/>
    <cellStyle name="Comma [0] 2" xfId="2216" xr:uid="{00000000-0005-0000-0000-0000A7080000}"/>
    <cellStyle name="Comma [0] 2 2" xfId="2217" xr:uid="{00000000-0005-0000-0000-0000A8080000}"/>
    <cellStyle name="Comma 10" xfId="2218" xr:uid="{00000000-0005-0000-0000-0000A9080000}"/>
    <cellStyle name="Comma 10 2" xfId="2219" xr:uid="{00000000-0005-0000-0000-0000AA080000}"/>
    <cellStyle name="Comma 11" xfId="2220" xr:uid="{00000000-0005-0000-0000-0000AB080000}"/>
    <cellStyle name="Comma 12" xfId="2221" xr:uid="{00000000-0005-0000-0000-0000AC080000}"/>
    <cellStyle name="Comma 12 2" xfId="2222" xr:uid="{00000000-0005-0000-0000-0000AD080000}"/>
    <cellStyle name="Comma 12 2 2" xfId="2223" xr:uid="{00000000-0005-0000-0000-0000AE080000}"/>
    <cellStyle name="Comma 12 2 2 2" xfId="2224" xr:uid="{00000000-0005-0000-0000-0000AF080000}"/>
    <cellStyle name="Comma 12 2 2 2 2" xfId="2225" xr:uid="{00000000-0005-0000-0000-0000B0080000}"/>
    <cellStyle name="Comma 12 2 2 3" xfId="2226" xr:uid="{00000000-0005-0000-0000-0000B1080000}"/>
    <cellStyle name="Comma 12 2 2 4" xfId="2227" xr:uid="{00000000-0005-0000-0000-0000B2080000}"/>
    <cellStyle name="Comma 12 2 3" xfId="2228" xr:uid="{00000000-0005-0000-0000-0000B3080000}"/>
    <cellStyle name="Comma 12 2 3 2" xfId="2229" xr:uid="{00000000-0005-0000-0000-0000B4080000}"/>
    <cellStyle name="Comma 12 2 4" xfId="2230" xr:uid="{00000000-0005-0000-0000-0000B5080000}"/>
    <cellStyle name="Comma 12 2 5" xfId="2231" xr:uid="{00000000-0005-0000-0000-0000B6080000}"/>
    <cellStyle name="Comma 12 3" xfId="2232" xr:uid="{00000000-0005-0000-0000-0000B7080000}"/>
    <cellStyle name="Comma 12 3 2" xfId="2233" xr:uid="{00000000-0005-0000-0000-0000B8080000}"/>
    <cellStyle name="Comma 12 3 2 2" xfId="2234" xr:uid="{00000000-0005-0000-0000-0000B9080000}"/>
    <cellStyle name="Comma 12 3 3" xfId="2235" xr:uid="{00000000-0005-0000-0000-0000BA080000}"/>
    <cellStyle name="Comma 12 3 4" xfId="2236" xr:uid="{00000000-0005-0000-0000-0000BB080000}"/>
    <cellStyle name="Comma 12 4" xfId="2237" xr:uid="{00000000-0005-0000-0000-0000BC080000}"/>
    <cellStyle name="Comma 12 4 2" xfId="2238" xr:uid="{00000000-0005-0000-0000-0000BD080000}"/>
    <cellStyle name="Comma 12 5" xfId="2239" xr:uid="{00000000-0005-0000-0000-0000BE080000}"/>
    <cellStyle name="Comma 12 6" xfId="2240" xr:uid="{00000000-0005-0000-0000-0000BF080000}"/>
    <cellStyle name="Comma 13" xfId="2241" xr:uid="{00000000-0005-0000-0000-0000C0080000}"/>
    <cellStyle name="Comma 14" xfId="2242" xr:uid="{00000000-0005-0000-0000-0000C1080000}"/>
    <cellStyle name="Comma 15" xfId="2243" xr:uid="{00000000-0005-0000-0000-0000C2080000}"/>
    <cellStyle name="Comma 16" xfId="2244" xr:uid="{00000000-0005-0000-0000-0000C3080000}"/>
    <cellStyle name="Comma 17" xfId="2245" xr:uid="{00000000-0005-0000-0000-0000C4080000}"/>
    <cellStyle name="Comma 18" xfId="2246" xr:uid="{00000000-0005-0000-0000-0000C5080000}"/>
    <cellStyle name="Comma 19" xfId="2247" xr:uid="{00000000-0005-0000-0000-0000C6080000}"/>
    <cellStyle name="Comma 2" xfId="2248" xr:uid="{00000000-0005-0000-0000-0000C7080000}"/>
    <cellStyle name="Comma 2 2" xfId="2249" xr:uid="{00000000-0005-0000-0000-0000C8080000}"/>
    <cellStyle name="Comma 2 2 2" xfId="2250" xr:uid="{00000000-0005-0000-0000-0000C9080000}"/>
    <cellStyle name="Comma 2 3" xfId="2251" xr:uid="{00000000-0005-0000-0000-0000CA080000}"/>
    <cellStyle name="Comma 2 3 2" xfId="2979" xr:uid="{00000000-0005-0000-0000-0000CB080000}"/>
    <cellStyle name="Comma 2 4" xfId="2252" xr:uid="{00000000-0005-0000-0000-0000CC080000}"/>
    <cellStyle name="Comma 20" xfId="2253" xr:uid="{00000000-0005-0000-0000-0000CD080000}"/>
    <cellStyle name="Comma 20 2" xfId="2254" xr:uid="{00000000-0005-0000-0000-0000CE080000}"/>
    <cellStyle name="Comma 20 2 2" xfId="2255" xr:uid="{00000000-0005-0000-0000-0000CF080000}"/>
    <cellStyle name="Comma 20 3" xfId="2256" xr:uid="{00000000-0005-0000-0000-0000D0080000}"/>
    <cellStyle name="Comma 20 4" xfId="2257" xr:uid="{00000000-0005-0000-0000-0000D1080000}"/>
    <cellStyle name="Comma 21" xfId="2258" xr:uid="{00000000-0005-0000-0000-0000D2080000}"/>
    <cellStyle name="Comma 21 2" xfId="2259" xr:uid="{00000000-0005-0000-0000-0000D3080000}"/>
    <cellStyle name="Comma 21 2 2" xfId="2260" xr:uid="{00000000-0005-0000-0000-0000D4080000}"/>
    <cellStyle name="Comma 21 3" xfId="2261" xr:uid="{00000000-0005-0000-0000-0000D5080000}"/>
    <cellStyle name="Comma 21 4" xfId="2262" xr:uid="{00000000-0005-0000-0000-0000D6080000}"/>
    <cellStyle name="Comma 22" xfId="2263" xr:uid="{00000000-0005-0000-0000-0000D7080000}"/>
    <cellStyle name="Comma 23" xfId="2264" xr:uid="{00000000-0005-0000-0000-0000D8080000}"/>
    <cellStyle name="Comma 24" xfId="2265" xr:uid="{00000000-0005-0000-0000-0000D9080000}"/>
    <cellStyle name="Comma 24 2" xfId="2266" xr:uid="{00000000-0005-0000-0000-0000DA080000}"/>
    <cellStyle name="Comma 25" xfId="2267" xr:uid="{00000000-0005-0000-0000-0000DB080000}"/>
    <cellStyle name="Comma 25 2" xfId="2268" xr:uid="{00000000-0005-0000-0000-0000DC080000}"/>
    <cellStyle name="Comma 26" xfId="2269" xr:uid="{00000000-0005-0000-0000-0000DD080000}"/>
    <cellStyle name="Comma 26 2" xfId="2270" xr:uid="{00000000-0005-0000-0000-0000DE080000}"/>
    <cellStyle name="Comma 27" xfId="2271" xr:uid="{00000000-0005-0000-0000-0000DF080000}"/>
    <cellStyle name="Comma 27 2" xfId="2272" xr:uid="{00000000-0005-0000-0000-0000E0080000}"/>
    <cellStyle name="Comma 28" xfId="2273" xr:uid="{00000000-0005-0000-0000-0000E1080000}"/>
    <cellStyle name="Comma 28 2" xfId="2274" xr:uid="{00000000-0005-0000-0000-0000E2080000}"/>
    <cellStyle name="Comma 29" xfId="2275" xr:uid="{00000000-0005-0000-0000-0000E3080000}"/>
    <cellStyle name="Comma 29 2" xfId="2276" xr:uid="{00000000-0005-0000-0000-0000E4080000}"/>
    <cellStyle name="Comma 3" xfId="2277" xr:uid="{00000000-0005-0000-0000-0000E5080000}"/>
    <cellStyle name="Comma 3 2" xfId="2278" xr:uid="{00000000-0005-0000-0000-0000E6080000}"/>
    <cellStyle name="Comma 3 2 2" xfId="2279" xr:uid="{00000000-0005-0000-0000-0000E7080000}"/>
    <cellStyle name="Comma 3 3" xfId="2280" xr:uid="{00000000-0005-0000-0000-0000E8080000}"/>
    <cellStyle name="Comma 30" xfId="2281" xr:uid="{00000000-0005-0000-0000-0000E9080000}"/>
    <cellStyle name="Comma 30 2" xfId="2282" xr:uid="{00000000-0005-0000-0000-0000EA080000}"/>
    <cellStyle name="Comma 31" xfId="2283" xr:uid="{00000000-0005-0000-0000-0000EB080000}"/>
    <cellStyle name="Comma 31 2" xfId="2284" xr:uid="{00000000-0005-0000-0000-0000EC080000}"/>
    <cellStyle name="Comma 32" xfId="2285" xr:uid="{00000000-0005-0000-0000-0000ED080000}"/>
    <cellStyle name="Comma 32 2" xfId="2286" xr:uid="{00000000-0005-0000-0000-0000EE080000}"/>
    <cellStyle name="Comma 33" xfId="2287" xr:uid="{00000000-0005-0000-0000-0000EF080000}"/>
    <cellStyle name="Comma 33 2" xfId="2288" xr:uid="{00000000-0005-0000-0000-0000F0080000}"/>
    <cellStyle name="Comma 34" xfId="2289" xr:uid="{00000000-0005-0000-0000-0000F1080000}"/>
    <cellStyle name="Comma 34 2" xfId="2290" xr:uid="{00000000-0005-0000-0000-0000F2080000}"/>
    <cellStyle name="Comma 35" xfId="2291" xr:uid="{00000000-0005-0000-0000-0000F3080000}"/>
    <cellStyle name="Comma 35 2" xfId="2292" xr:uid="{00000000-0005-0000-0000-0000F4080000}"/>
    <cellStyle name="Comma 36" xfId="2293" xr:uid="{00000000-0005-0000-0000-0000F5080000}"/>
    <cellStyle name="Comma 36 2" xfId="2294" xr:uid="{00000000-0005-0000-0000-0000F6080000}"/>
    <cellStyle name="Comma 37" xfId="2295" xr:uid="{00000000-0005-0000-0000-0000F7080000}"/>
    <cellStyle name="Comma 37 2" xfId="2296" xr:uid="{00000000-0005-0000-0000-0000F8080000}"/>
    <cellStyle name="Comma 38" xfId="2297" xr:uid="{00000000-0005-0000-0000-0000F9080000}"/>
    <cellStyle name="Comma 38 2" xfId="2298" xr:uid="{00000000-0005-0000-0000-0000FA080000}"/>
    <cellStyle name="Comma 39" xfId="2299" xr:uid="{00000000-0005-0000-0000-0000FB080000}"/>
    <cellStyle name="Comma 39 2" xfId="2300" xr:uid="{00000000-0005-0000-0000-0000FC080000}"/>
    <cellStyle name="Comma 4" xfId="2301" xr:uid="{00000000-0005-0000-0000-0000FD080000}"/>
    <cellStyle name="Comma 4 2" xfId="2302" xr:uid="{00000000-0005-0000-0000-0000FE080000}"/>
    <cellStyle name="Comma 40" xfId="2303" xr:uid="{00000000-0005-0000-0000-0000FF080000}"/>
    <cellStyle name="Comma 40 2" xfId="2304" xr:uid="{00000000-0005-0000-0000-000000090000}"/>
    <cellStyle name="Comma 41" xfId="2305" xr:uid="{00000000-0005-0000-0000-000001090000}"/>
    <cellStyle name="Comma 41 2" xfId="2306" xr:uid="{00000000-0005-0000-0000-000002090000}"/>
    <cellStyle name="Comma 42" xfId="2307" xr:uid="{00000000-0005-0000-0000-000003090000}"/>
    <cellStyle name="Comma 42 2" xfId="2308" xr:uid="{00000000-0005-0000-0000-000004090000}"/>
    <cellStyle name="Comma 43" xfId="2309" xr:uid="{00000000-0005-0000-0000-000005090000}"/>
    <cellStyle name="Comma 43 2" xfId="2310" xr:uid="{00000000-0005-0000-0000-000006090000}"/>
    <cellStyle name="Comma 44" xfId="2311" xr:uid="{00000000-0005-0000-0000-000007090000}"/>
    <cellStyle name="Comma 44 2" xfId="2312" xr:uid="{00000000-0005-0000-0000-000008090000}"/>
    <cellStyle name="Comma 45" xfId="2313" xr:uid="{00000000-0005-0000-0000-000009090000}"/>
    <cellStyle name="Comma 45 2" xfId="2314" xr:uid="{00000000-0005-0000-0000-00000A090000}"/>
    <cellStyle name="Comma 46" xfId="2315" xr:uid="{00000000-0005-0000-0000-00000B090000}"/>
    <cellStyle name="Comma 46 2" xfId="2316" xr:uid="{00000000-0005-0000-0000-00000C090000}"/>
    <cellStyle name="Comma 47" xfId="2317" xr:uid="{00000000-0005-0000-0000-00000D090000}"/>
    <cellStyle name="Comma 47 2" xfId="2318" xr:uid="{00000000-0005-0000-0000-00000E090000}"/>
    <cellStyle name="Comma 48" xfId="2319" xr:uid="{00000000-0005-0000-0000-00000F090000}"/>
    <cellStyle name="Comma 49" xfId="2320" xr:uid="{00000000-0005-0000-0000-000010090000}"/>
    <cellStyle name="Comma 5" xfId="2321" xr:uid="{00000000-0005-0000-0000-000011090000}"/>
    <cellStyle name="Comma 5 2" xfId="2322" xr:uid="{00000000-0005-0000-0000-000012090000}"/>
    <cellStyle name="Comma 5 2 2" xfId="2323" xr:uid="{00000000-0005-0000-0000-000013090000}"/>
    <cellStyle name="Comma 5 2 2 2" xfId="2324" xr:uid="{00000000-0005-0000-0000-000014090000}"/>
    <cellStyle name="Comma 5 2 2 2 2" xfId="2325" xr:uid="{00000000-0005-0000-0000-000015090000}"/>
    <cellStyle name="Comma 5 2 2 2 2 2" xfId="2326" xr:uid="{00000000-0005-0000-0000-000016090000}"/>
    <cellStyle name="Comma 5 2 2 2 3" xfId="2327" xr:uid="{00000000-0005-0000-0000-000017090000}"/>
    <cellStyle name="Comma 5 2 2 2 4" xfId="2328" xr:uid="{00000000-0005-0000-0000-000018090000}"/>
    <cellStyle name="Comma 5 2 2 3" xfId="2329" xr:uid="{00000000-0005-0000-0000-000019090000}"/>
    <cellStyle name="Comma 5 2 2 3 2" xfId="2330" xr:uid="{00000000-0005-0000-0000-00001A090000}"/>
    <cellStyle name="Comma 5 2 2 4" xfId="2331" xr:uid="{00000000-0005-0000-0000-00001B090000}"/>
    <cellStyle name="Comma 5 2 2 5" xfId="2332" xr:uid="{00000000-0005-0000-0000-00001C090000}"/>
    <cellStyle name="Comma 5 2 3" xfId="2333" xr:uid="{00000000-0005-0000-0000-00001D090000}"/>
    <cellStyle name="Comma 5 2 3 2" xfId="2334" xr:uid="{00000000-0005-0000-0000-00001E090000}"/>
    <cellStyle name="Comma 5 2 3 2 2" xfId="2335" xr:uid="{00000000-0005-0000-0000-00001F090000}"/>
    <cellStyle name="Comma 5 2 3 3" xfId="2336" xr:uid="{00000000-0005-0000-0000-000020090000}"/>
    <cellStyle name="Comma 5 2 3 4" xfId="2337" xr:uid="{00000000-0005-0000-0000-000021090000}"/>
    <cellStyle name="Comma 5 2 4" xfId="2338" xr:uid="{00000000-0005-0000-0000-000022090000}"/>
    <cellStyle name="Comma 5 2 4 2" xfId="2339" xr:uid="{00000000-0005-0000-0000-000023090000}"/>
    <cellStyle name="Comma 5 2 5" xfId="2340" xr:uid="{00000000-0005-0000-0000-000024090000}"/>
    <cellStyle name="Comma 5 2 5 2" xfId="2341" xr:uid="{00000000-0005-0000-0000-000025090000}"/>
    <cellStyle name="Comma 5 2 6" xfId="2342" xr:uid="{00000000-0005-0000-0000-000026090000}"/>
    <cellStyle name="Comma 5 2 6 2" xfId="2343" xr:uid="{00000000-0005-0000-0000-000027090000}"/>
    <cellStyle name="Comma 5 2 7" xfId="2344" xr:uid="{00000000-0005-0000-0000-000028090000}"/>
    <cellStyle name="Comma 5 3" xfId="2345" xr:uid="{00000000-0005-0000-0000-000029090000}"/>
    <cellStyle name="Comma 5 4" xfId="2346" xr:uid="{00000000-0005-0000-0000-00002A090000}"/>
    <cellStyle name="Comma 5 5" xfId="2347" xr:uid="{00000000-0005-0000-0000-00002B090000}"/>
    <cellStyle name="Comma 5 6" xfId="2348" xr:uid="{00000000-0005-0000-0000-00002C090000}"/>
    <cellStyle name="Comma 5 6 2" xfId="2349" xr:uid="{00000000-0005-0000-0000-00002D090000}"/>
    <cellStyle name="Comma 5 6 2 2" xfId="2350" xr:uid="{00000000-0005-0000-0000-00002E090000}"/>
    <cellStyle name="Comma 5 6 2 2 2" xfId="2351" xr:uid="{00000000-0005-0000-0000-00002F090000}"/>
    <cellStyle name="Comma 5 6 2 2 2 2" xfId="2352" xr:uid="{00000000-0005-0000-0000-000030090000}"/>
    <cellStyle name="Comma 5 6 2 2 3" xfId="2353" xr:uid="{00000000-0005-0000-0000-000031090000}"/>
    <cellStyle name="Comma 5 6 2 2 4" xfId="2354" xr:uid="{00000000-0005-0000-0000-000032090000}"/>
    <cellStyle name="Comma 5 6 2 3" xfId="2355" xr:uid="{00000000-0005-0000-0000-000033090000}"/>
    <cellStyle name="Comma 5 6 2 3 2" xfId="2356" xr:uid="{00000000-0005-0000-0000-000034090000}"/>
    <cellStyle name="Comma 5 6 2 4" xfId="2357" xr:uid="{00000000-0005-0000-0000-000035090000}"/>
    <cellStyle name="Comma 5 6 2 5" xfId="2358" xr:uid="{00000000-0005-0000-0000-000036090000}"/>
    <cellStyle name="Comma 5 6 3" xfId="2359" xr:uid="{00000000-0005-0000-0000-000037090000}"/>
    <cellStyle name="Comma 5 6 3 2" xfId="2360" xr:uid="{00000000-0005-0000-0000-000038090000}"/>
    <cellStyle name="Comma 5 6 3 2 2" xfId="2361" xr:uid="{00000000-0005-0000-0000-000039090000}"/>
    <cellStyle name="Comma 5 6 3 3" xfId="2362" xr:uid="{00000000-0005-0000-0000-00003A090000}"/>
    <cellStyle name="Comma 5 6 3 4" xfId="2363" xr:uid="{00000000-0005-0000-0000-00003B090000}"/>
    <cellStyle name="Comma 5 6 4" xfId="2364" xr:uid="{00000000-0005-0000-0000-00003C090000}"/>
    <cellStyle name="Comma 5 6 4 2" xfId="2365" xr:uid="{00000000-0005-0000-0000-00003D090000}"/>
    <cellStyle name="Comma 5 6 5" xfId="2366" xr:uid="{00000000-0005-0000-0000-00003E090000}"/>
    <cellStyle name="Comma 5 6 6" xfId="2367" xr:uid="{00000000-0005-0000-0000-00003F090000}"/>
    <cellStyle name="Comma 5 7" xfId="2368" xr:uid="{00000000-0005-0000-0000-000040090000}"/>
    <cellStyle name="Comma 5 8" xfId="2369" xr:uid="{00000000-0005-0000-0000-000041090000}"/>
    <cellStyle name="Comma 5 8 2" xfId="2370" xr:uid="{00000000-0005-0000-0000-000042090000}"/>
    <cellStyle name="Comma 5 8 2 2" xfId="2371" xr:uid="{00000000-0005-0000-0000-000043090000}"/>
    <cellStyle name="Comma 5 8 3" xfId="2372" xr:uid="{00000000-0005-0000-0000-000044090000}"/>
    <cellStyle name="Comma 5 8 4" xfId="2373" xr:uid="{00000000-0005-0000-0000-000045090000}"/>
    <cellStyle name="Comma 50" xfId="2374" xr:uid="{00000000-0005-0000-0000-000046090000}"/>
    <cellStyle name="Comma 51" xfId="2375" xr:uid="{00000000-0005-0000-0000-000047090000}"/>
    <cellStyle name="Comma 52" xfId="2376" xr:uid="{00000000-0005-0000-0000-000048090000}"/>
    <cellStyle name="Comma 53" xfId="2977" xr:uid="{00000000-0005-0000-0000-000049090000}"/>
    <cellStyle name="Comma 6" xfId="2377" xr:uid="{00000000-0005-0000-0000-00004A090000}"/>
    <cellStyle name="Comma 6 2" xfId="2378" xr:uid="{00000000-0005-0000-0000-00004B090000}"/>
    <cellStyle name="Comma 6 3" xfId="2379" xr:uid="{00000000-0005-0000-0000-00004C090000}"/>
    <cellStyle name="Comma 6 4" xfId="2380" xr:uid="{00000000-0005-0000-0000-00004D090000}"/>
    <cellStyle name="Comma 6 5" xfId="2381" xr:uid="{00000000-0005-0000-0000-00004E090000}"/>
    <cellStyle name="Comma 6 6" xfId="2382" xr:uid="{00000000-0005-0000-0000-00004F090000}"/>
    <cellStyle name="Comma 7" xfId="2383" xr:uid="{00000000-0005-0000-0000-000050090000}"/>
    <cellStyle name="Comma 7 2" xfId="2384" xr:uid="{00000000-0005-0000-0000-000051090000}"/>
    <cellStyle name="Comma 7 2 2" xfId="2385" xr:uid="{00000000-0005-0000-0000-000052090000}"/>
    <cellStyle name="Comma 7 2 2 2" xfId="2386" xr:uid="{00000000-0005-0000-0000-000053090000}"/>
    <cellStyle name="Comma 7 2 2 2 2" xfId="2387" xr:uid="{00000000-0005-0000-0000-000054090000}"/>
    <cellStyle name="Comma 7 2 2 2 2 2" xfId="2388" xr:uid="{00000000-0005-0000-0000-000055090000}"/>
    <cellStyle name="Comma 7 2 2 2 3" xfId="2389" xr:uid="{00000000-0005-0000-0000-000056090000}"/>
    <cellStyle name="Comma 7 2 2 2 4" xfId="2390" xr:uid="{00000000-0005-0000-0000-000057090000}"/>
    <cellStyle name="Comma 7 2 2 3" xfId="2391" xr:uid="{00000000-0005-0000-0000-000058090000}"/>
    <cellStyle name="Comma 7 2 2 3 2" xfId="2392" xr:uid="{00000000-0005-0000-0000-000059090000}"/>
    <cellStyle name="Comma 7 2 2 4" xfId="2393" xr:uid="{00000000-0005-0000-0000-00005A090000}"/>
    <cellStyle name="Comma 7 2 2 5" xfId="2394" xr:uid="{00000000-0005-0000-0000-00005B090000}"/>
    <cellStyle name="Comma 7 2 3" xfId="2395" xr:uid="{00000000-0005-0000-0000-00005C090000}"/>
    <cellStyle name="Comma 7 2 3 2" xfId="2396" xr:uid="{00000000-0005-0000-0000-00005D090000}"/>
    <cellStyle name="Comma 7 2 3 2 2" xfId="2397" xr:uid="{00000000-0005-0000-0000-00005E090000}"/>
    <cellStyle name="Comma 7 2 3 3" xfId="2398" xr:uid="{00000000-0005-0000-0000-00005F090000}"/>
    <cellStyle name="Comma 7 2 3 4" xfId="2399" xr:uid="{00000000-0005-0000-0000-000060090000}"/>
    <cellStyle name="Comma 7 2 4" xfId="2400" xr:uid="{00000000-0005-0000-0000-000061090000}"/>
    <cellStyle name="Comma 7 2 4 2" xfId="2401" xr:uid="{00000000-0005-0000-0000-000062090000}"/>
    <cellStyle name="Comma 7 2 5" xfId="2402" xr:uid="{00000000-0005-0000-0000-000063090000}"/>
    <cellStyle name="Comma 7 2 6" xfId="2403" xr:uid="{00000000-0005-0000-0000-000064090000}"/>
    <cellStyle name="Comma 7 3" xfId="2404" xr:uid="{00000000-0005-0000-0000-000065090000}"/>
    <cellStyle name="Comma 7 4" xfId="2405" xr:uid="{00000000-0005-0000-0000-000066090000}"/>
    <cellStyle name="Comma 7 4 2" xfId="2406" xr:uid="{00000000-0005-0000-0000-000067090000}"/>
    <cellStyle name="Comma 7 5" xfId="2407" xr:uid="{00000000-0005-0000-0000-000068090000}"/>
    <cellStyle name="Comma 7 6" xfId="2408" xr:uid="{00000000-0005-0000-0000-000069090000}"/>
    <cellStyle name="Comma 8" xfId="2409" xr:uid="{00000000-0005-0000-0000-00006A090000}"/>
    <cellStyle name="Comma 8 2" xfId="2410" xr:uid="{00000000-0005-0000-0000-00006B090000}"/>
    <cellStyle name="Comma 8 2 2" xfId="2411" xr:uid="{00000000-0005-0000-0000-00006C090000}"/>
    <cellStyle name="Comma 8 2 2 2" xfId="2412" xr:uid="{00000000-0005-0000-0000-00006D090000}"/>
    <cellStyle name="Comma 8 2 2 2 2" xfId="2413" xr:uid="{00000000-0005-0000-0000-00006E090000}"/>
    <cellStyle name="Comma 8 2 2 3" xfId="2414" xr:uid="{00000000-0005-0000-0000-00006F090000}"/>
    <cellStyle name="Comma 8 2 2 4" xfId="2415" xr:uid="{00000000-0005-0000-0000-000070090000}"/>
    <cellStyle name="Comma 8 2 3" xfId="2416" xr:uid="{00000000-0005-0000-0000-000071090000}"/>
    <cellStyle name="Comma 8 2 3 2" xfId="2417" xr:uid="{00000000-0005-0000-0000-000072090000}"/>
    <cellStyle name="Comma 8 2 4" xfId="2418" xr:uid="{00000000-0005-0000-0000-000073090000}"/>
    <cellStyle name="Comma 8 2 5" xfId="2419" xr:uid="{00000000-0005-0000-0000-000074090000}"/>
    <cellStyle name="Comma 8 3" xfId="2420" xr:uid="{00000000-0005-0000-0000-000075090000}"/>
    <cellStyle name="Comma 8 3 2" xfId="2421" xr:uid="{00000000-0005-0000-0000-000076090000}"/>
    <cellStyle name="Comma 8 3 2 2" xfId="2422" xr:uid="{00000000-0005-0000-0000-000077090000}"/>
    <cellStyle name="Comma 8 3 3" xfId="2423" xr:uid="{00000000-0005-0000-0000-000078090000}"/>
    <cellStyle name="Comma 8 3 4" xfId="2424" xr:uid="{00000000-0005-0000-0000-000079090000}"/>
    <cellStyle name="Comma 8 4" xfId="2425" xr:uid="{00000000-0005-0000-0000-00007A090000}"/>
    <cellStyle name="Comma 8 4 2" xfId="2426" xr:uid="{00000000-0005-0000-0000-00007B090000}"/>
    <cellStyle name="Comma 8 5" xfId="2427" xr:uid="{00000000-0005-0000-0000-00007C090000}"/>
    <cellStyle name="Comma 8 5 2" xfId="2428" xr:uid="{00000000-0005-0000-0000-00007D090000}"/>
    <cellStyle name="Comma 8 6" xfId="2429" xr:uid="{00000000-0005-0000-0000-00007E090000}"/>
    <cellStyle name="Comma 8 6 2" xfId="2430" xr:uid="{00000000-0005-0000-0000-00007F090000}"/>
    <cellStyle name="Comma 8 7" xfId="2431" xr:uid="{00000000-0005-0000-0000-000080090000}"/>
    <cellStyle name="Comma 9" xfId="2432" xr:uid="{00000000-0005-0000-0000-000081090000}"/>
    <cellStyle name="Comma 9 2" xfId="2433" xr:uid="{00000000-0005-0000-0000-000082090000}"/>
    <cellStyle name="Comma 9 3" xfId="2434" xr:uid="{00000000-0005-0000-0000-000083090000}"/>
    <cellStyle name="Currency" xfId="2984" builtinId="4"/>
    <cellStyle name="Currency [0] 2" xfId="2435" xr:uid="{00000000-0005-0000-0000-000085090000}"/>
    <cellStyle name="Currency [0] 2 2" xfId="2436" xr:uid="{00000000-0005-0000-0000-000086090000}"/>
    <cellStyle name="Currency 2" xfId="2437" xr:uid="{00000000-0005-0000-0000-000087090000}"/>
    <cellStyle name="Currency 2 2" xfId="2438" xr:uid="{00000000-0005-0000-0000-000088090000}"/>
    <cellStyle name="Currency 3" xfId="2439" xr:uid="{00000000-0005-0000-0000-000089090000}"/>
    <cellStyle name="Currency 3 2" xfId="2440" xr:uid="{00000000-0005-0000-0000-00008A090000}"/>
    <cellStyle name="Currency 4" xfId="2441" xr:uid="{00000000-0005-0000-0000-00008B090000}"/>
    <cellStyle name="Currency 4 2" xfId="2442" xr:uid="{00000000-0005-0000-0000-00008C090000}"/>
    <cellStyle name="Currency 5" xfId="2443" xr:uid="{00000000-0005-0000-0000-00008D090000}"/>
    <cellStyle name="Explanatory Text 2" xfId="2444" xr:uid="{00000000-0005-0000-0000-00008E090000}"/>
    <cellStyle name="Explanatory Text 3" xfId="2445" xr:uid="{00000000-0005-0000-0000-00008F090000}"/>
    <cellStyle name="Good 2" xfId="2446" xr:uid="{00000000-0005-0000-0000-000090090000}"/>
    <cellStyle name="Good 3" xfId="2447" xr:uid="{00000000-0005-0000-0000-000091090000}"/>
    <cellStyle name="Heading 1 2" xfId="2448" xr:uid="{00000000-0005-0000-0000-000092090000}"/>
    <cellStyle name="Heading 1 3" xfId="2449" xr:uid="{00000000-0005-0000-0000-000093090000}"/>
    <cellStyle name="Heading 2 2" xfId="2450" xr:uid="{00000000-0005-0000-0000-000094090000}"/>
    <cellStyle name="Heading 2 3" xfId="2451" xr:uid="{00000000-0005-0000-0000-000095090000}"/>
    <cellStyle name="Heading 3 2" xfId="2452" xr:uid="{00000000-0005-0000-0000-000096090000}"/>
    <cellStyle name="Heading 3 3" xfId="2453" xr:uid="{00000000-0005-0000-0000-000097090000}"/>
    <cellStyle name="Heading 4 2" xfId="2454" xr:uid="{00000000-0005-0000-0000-000098090000}"/>
    <cellStyle name="Heading 4 3" xfId="2455" xr:uid="{00000000-0005-0000-0000-000099090000}"/>
    <cellStyle name="Hyperlink" xfId="2983" builtinId="8"/>
    <cellStyle name="Hyperlink 2" xfId="2456" xr:uid="{00000000-0005-0000-0000-00009B090000}"/>
    <cellStyle name="Hyperlink 2 2" xfId="2457" xr:uid="{00000000-0005-0000-0000-00009C090000}"/>
    <cellStyle name="Hyperlink 3" xfId="2458" xr:uid="{00000000-0005-0000-0000-00009D090000}"/>
    <cellStyle name="Hyperlink 3 2" xfId="2459" xr:uid="{00000000-0005-0000-0000-00009E090000}"/>
    <cellStyle name="Input 2" xfId="2460" xr:uid="{00000000-0005-0000-0000-00009F090000}"/>
    <cellStyle name="Input 3" xfId="2461" xr:uid="{00000000-0005-0000-0000-0000A0090000}"/>
    <cellStyle name="Linked Cell 2" xfId="2462" xr:uid="{00000000-0005-0000-0000-0000A1090000}"/>
    <cellStyle name="Linked Cell 3" xfId="2463" xr:uid="{00000000-0005-0000-0000-0000A2090000}"/>
    <cellStyle name="Neutral 2" xfId="2464" xr:uid="{00000000-0005-0000-0000-0000A3090000}"/>
    <cellStyle name="Neutral 3" xfId="2465" xr:uid="{00000000-0005-0000-0000-0000A4090000}"/>
    <cellStyle name="Normal" xfId="0" builtinId="0"/>
    <cellStyle name="Normal 10" xfId="2466" xr:uid="{00000000-0005-0000-0000-0000A6090000}"/>
    <cellStyle name="Normal 10 2" xfId="2467" xr:uid="{00000000-0005-0000-0000-0000A7090000}"/>
    <cellStyle name="Normal 11" xfId="2468" xr:uid="{00000000-0005-0000-0000-0000A8090000}"/>
    <cellStyle name="Normal 11 2" xfId="2469" xr:uid="{00000000-0005-0000-0000-0000A9090000}"/>
    <cellStyle name="Normal 12" xfId="2470" xr:uid="{00000000-0005-0000-0000-0000AA090000}"/>
    <cellStyle name="Normal 12 2" xfId="2471" xr:uid="{00000000-0005-0000-0000-0000AB090000}"/>
    <cellStyle name="Normal 13" xfId="2472" xr:uid="{00000000-0005-0000-0000-0000AC090000}"/>
    <cellStyle name="Normal 13 2" xfId="2473" xr:uid="{00000000-0005-0000-0000-0000AD090000}"/>
    <cellStyle name="Normal 13 2 2" xfId="2474" xr:uid="{00000000-0005-0000-0000-0000AE090000}"/>
    <cellStyle name="Normal 13 2 2 2" xfId="2475" xr:uid="{00000000-0005-0000-0000-0000AF090000}"/>
    <cellStyle name="Normal 13 2 2 2 2" xfId="2476" xr:uid="{00000000-0005-0000-0000-0000B0090000}"/>
    <cellStyle name="Normal 13 2 2 2 3" xfId="2981" xr:uid="{00000000-0005-0000-0000-0000B1090000}"/>
    <cellStyle name="Normal 13 2 2 3" xfId="2477" xr:uid="{00000000-0005-0000-0000-0000B2090000}"/>
    <cellStyle name="Normal 13 2 2 4" xfId="2478" xr:uid="{00000000-0005-0000-0000-0000B3090000}"/>
    <cellStyle name="Normal 13 2 3" xfId="2479" xr:uid="{00000000-0005-0000-0000-0000B4090000}"/>
    <cellStyle name="Normal 13 2 3 2" xfId="2480" xr:uid="{00000000-0005-0000-0000-0000B5090000}"/>
    <cellStyle name="Normal 13 2 4" xfId="2481" xr:uid="{00000000-0005-0000-0000-0000B6090000}"/>
    <cellStyle name="Normal 13 2 5" xfId="2482" xr:uid="{00000000-0005-0000-0000-0000B7090000}"/>
    <cellStyle name="Normal 13 3" xfId="2483" xr:uid="{00000000-0005-0000-0000-0000B8090000}"/>
    <cellStyle name="Normal 13 3 2" xfId="2484" xr:uid="{00000000-0005-0000-0000-0000B9090000}"/>
    <cellStyle name="Normal 13 3 2 2" xfId="2485" xr:uid="{00000000-0005-0000-0000-0000BA090000}"/>
    <cellStyle name="Normal 13 3 3" xfId="2486" xr:uid="{00000000-0005-0000-0000-0000BB090000}"/>
    <cellStyle name="Normal 13 3 4" xfId="2487" xr:uid="{00000000-0005-0000-0000-0000BC090000}"/>
    <cellStyle name="Normal 13 4" xfId="2488" xr:uid="{00000000-0005-0000-0000-0000BD090000}"/>
    <cellStyle name="Normal 13 4 2" xfId="2489" xr:uid="{00000000-0005-0000-0000-0000BE090000}"/>
    <cellStyle name="Normal 13 5" xfId="2490" xr:uid="{00000000-0005-0000-0000-0000BF090000}"/>
    <cellStyle name="Normal 13 6" xfId="2491" xr:uid="{00000000-0005-0000-0000-0000C0090000}"/>
    <cellStyle name="Normal 14" xfId="2492" xr:uid="{00000000-0005-0000-0000-0000C1090000}"/>
    <cellStyle name="Normal 14 2" xfId="2493" xr:uid="{00000000-0005-0000-0000-0000C2090000}"/>
    <cellStyle name="Normal 15" xfId="2494" xr:uid="{00000000-0005-0000-0000-0000C3090000}"/>
    <cellStyle name="Normal 15 2" xfId="2495" xr:uid="{00000000-0005-0000-0000-0000C4090000}"/>
    <cellStyle name="Normal 15 3" xfId="2496" xr:uid="{00000000-0005-0000-0000-0000C5090000}"/>
    <cellStyle name="Normal 16" xfId="2497" xr:uid="{00000000-0005-0000-0000-0000C6090000}"/>
    <cellStyle name="Normal 16 2" xfId="2498" xr:uid="{00000000-0005-0000-0000-0000C7090000}"/>
    <cellStyle name="Normal 16 2 2" xfId="2499" xr:uid="{00000000-0005-0000-0000-0000C8090000}"/>
    <cellStyle name="Normal 16 3" xfId="2500" xr:uid="{00000000-0005-0000-0000-0000C9090000}"/>
    <cellStyle name="Normal 16 4" xfId="2501" xr:uid="{00000000-0005-0000-0000-0000CA090000}"/>
    <cellStyle name="Normal 17" xfId="2502" xr:uid="{00000000-0005-0000-0000-0000CB090000}"/>
    <cellStyle name="Normal 18" xfId="2503" xr:uid="{00000000-0005-0000-0000-0000CC090000}"/>
    <cellStyle name="Normal 18 2" xfId="2504" xr:uid="{00000000-0005-0000-0000-0000CD090000}"/>
    <cellStyle name="Normal 19" xfId="2505" xr:uid="{00000000-0005-0000-0000-0000CE090000}"/>
    <cellStyle name="Normal 2" xfId="2506" xr:uid="{00000000-0005-0000-0000-0000CF090000}"/>
    <cellStyle name="Normal 2 2" xfId="2507" xr:uid="{00000000-0005-0000-0000-0000D0090000}"/>
    <cellStyle name="Normal 2 3" xfId="2508" xr:uid="{00000000-0005-0000-0000-0000D1090000}"/>
    <cellStyle name="Normal 2 4" xfId="2509" xr:uid="{00000000-0005-0000-0000-0000D2090000}"/>
    <cellStyle name="Normal 3" xfId="2510" xr:uid="{00000000-0005-0000-0000-0000D3090000}"/>
    <cellStyle name="Normal 3 10" xfId="2511" xr:uid="{00000000-0005-0000-0000-0000D4090000}"/>
    <cellStyle name="Normal 3 10 2" xfId="2512" xr:uid="{00000000-0005-0000-0000-0000D5090000}"/>
    <cellStyle name="Normal 3 10 2 2" xfId="2513" xr:uid="{00000000-0005-0000-0000-0000D6090000}"/>
    <cellStyle name="Normal 3 10 3" xfId="2514" xr:uid="{00000000-0005-0000-0000-0000D7090000}"/>
    <cellStyle name="Normal 3 10 4" xfId="2515" xr:uid="{00000000-0005-0000-0000-0000D8090000}"/>
    <cellStyle name="Normal 3 11" xfId="2516" xr:uid="{00000000-0005-0000-0000-0000D9090000}"/>
    <cellStyle name="Normal 3 11 2" xfId="2517" xr:uid="{00000000-0005-0000-0000-0000DA090000}"/>
    <cellStyle name="Normal 3 12" xfId="2518" xr:uid="{00000000-0005-0000-0000-0000DB090000}"/>
    <cellStyle name="Normal 3 12 2" xfId="2519" xr:uid="{00000000-0005-0000-0000-0000DC090000}"/>
    <cellStyle name="Normal 3 13" xfId="2520" xr:uid="{00000000-0005-0000-0000-0000DD090000}"/>
    <cellStyle name="Normal 3 14" xfId="2521" xr:uid="{00000000-0005-0000-0000-0000DE090000}"/>
    <cellStyle name="Normal 3 2" xfId="2522" xr:uid="{00000000-0005-0000-0000-0000DF090000}"/>
    <cellStyle name="Normal 3 2 2" xfId="2523" xr:uid="{00000000-0005-0000-0000-0000E0090000}"/>
    <cellStyle name="Normal 3 2 2 2" xfId="2524" xr:uid="{00000000-0005-0000-0000-0000E1090000}"/>
    <cellStyle name="Normal 3 2 2 2 2" xfId="2525" xr:uid="{00000000-0005-0000-0000-0000E2090000}"/>
    <cellStyle name="Normal 3 2 2 2 2 2" xfId="2526" xr:uid="{00000000-0005-0000-0000-0000E3090000}"/>
    <cellStyle name="Normal 3 2 2 2 3" xfId="2527" xr:uid="{00000000-0005-0000-0000-0000E4090000}"/>
    <cellStyle name="Normal 3 2 2 2 4" xfId="2528" xr:uid="{00000000-0005-0000-0000-0000E5090000}"/>
    <cellStyle name="Normal 3 2 2 3" xfId="2529" xr:uid="{00000000-0005-0000-0000-0000E6090000}"/>
    <cellStyle name="Normal 3 2 2 3 2" xfId="2530" xr:uid="{00000000-0005-0000-0000-0000E7090000}"/>
    <cellStyle name="Normal 3 2 2 4" xfId="2531" xr:uid="{00000000-0005-0000-0000-0000E8090000}"/>
    <cellStyle name="Normal 3 2 2 5" xfId="2532" xr:uid="{00000000-0005-0000-0000-0000E9090000}"/>
    <cellStyle name="Normal 3 2 3" xfId="2533" xr:uid="{00000000-0005-0000-0000-0000EA090000}"/>
    <cellStyle name="Normal 3 2 3 2" xfId="2534" xr:uid="{00000000-0005-0000-0000-0000EB090000}"/>
    <cellStyle name="Normal 3 2 3 2 2" xfId="2535" xr:uid="{00000000-0005-0000-0000-0000EC090000}"/>
    <cellStyle name="Normal 3 2 3 3" xfId="2536" xr:uid="{00000000-0005-0000-0000-0000ED090000}"/>
    <cellStyle name="Normal 3 2 3 4" xfId="2537" xr:uid="{00000000-0005-0000-0000-0000EE090000}"/>
    <cellStyle name="Normal 3 2 4" xfId="2538" xr:uid="{00000000-0005-0000-0000-0000EF090000}"/>
    <cellStyle name="Normal 3 2 4 2" xfId="2539" xr:uid="{00000000-0005-0000-0000-0000F0090000}"/>
    <cellStyle name="Normal 3 2 5" xfId="2540" xr:uid="{00000000-0005-0000-0000-0000F1090000}"/>
    <cellStyle name="Normal 3 2 5 2" xfId="2541" xr:uid="{00000000-0005-0000-0000-0000F2090000}"/>
    <cellStyle name="Normal 3 2 6" xfId="2542" xr:uid="{00000000-0005-0000-0000-0000F3090000}"/>
    <cellStyle name="Normal 3 2 7" xfId="2543" xr:uid="{00000000-0005-0000-0000-0000F4090000}"/>
    <cellStyle name="Normal 3 3" xfId="2544" xr:uid="{00000000-0005-0000-0000-0000F5090000}"/>
    <cellStyle name="Normal 3 3 2" xfId="2545" xr:uid="{00000000-0005-0000-0000-0000F6090000}"/>
    <cellStyle name="Normal 3 3 2 2" xfId="2546" xr:uid="{00000000-0005-0000-0000-0000F7090000}"/>
    <cellStyle name="Normal 3 3 2 2 2" xfId="2547" xr:uid="{00000000-0005-0000-0000-0000F8090000}"/>
    <cellStyle name="Normal 3 3 2 2 2 2" xfId="2548" xr:uid="{00000000-0005-0000-0000-0000F9090000}"/>
    <cellStyle name="Normal 3 3 2 2 3" xfId="2549" xr:uid="{00000000-0005-0000-0000-0000FA090000}"/>
    <cellStyle name="Normal 3 3 2 2 4" xfId="2550" xr:uid="{00000000-0005-0000-0000-0000FB090000}"/>
    <cellStyle name="Normal 3 3 2 3" xfId="2551" xr:uid="{00000000-0005-0000-0000-0000FC090000}"/>
    <cellStyle name="Normal 3 3 2 3 2" xfId="2552" xr:uid="{00000000-0005-0000-0000-0000FD090000}"/>
    <cellStyle name="Normal 3 3 2 4" xfId="2553" xr:uid="{00000000-0005-0000-0000-0000FE090000}"/>
    <cellStyle name="Normal 3 3 2 5" xfId="2554" xr:uid="{00000000-0005-0000-0000-0000FF090000}"/>
    <cellStyle name="Normal 3 3 3" xfId="2555" xr:uid="{00000000-0005-0000-0000-0000000A0000}"/>
    <cellStyle name="Normal 3 3 3 2" xfId="2556" xr:uid="{00000000-0005-0000-0000-0000010A0000}"/>
    <cellStyle name="Normal 3 3 3 2 2" xfId="2557" xr:uid="{00000000-0005-0000-0000-0000020A0000}"/>
    <cellStyle name="Normal 3 3 3 3" xfId="2558" xr:uid="{00000000-0005-0000-0000-0000030A0000}"/>
    <cellStyle name="Normal 3 3 3 4" xfId="2559" xr:uid="{00000000-0005-0000-0000-0000040A0000}"/>
    <cellStyle name="Normal 3 3 4" xfId="2560" xr:uid="{00000000-0005-0000-0000-0000050A0000}"/>
    <cellStyle name="Normal 3 3 4 2" xfId="2561" xr:uid="{00000000-0005-0000-0000-0000060A0000}"/>
    <cellStyle name="Normal 3 3 5" xfId="2562" xr:uid="{00000000-0005-0000-0000-0000070A0000}"/>
    <cellStyle name="Normal 3 3 5 2" xfId="2563" xr:uid="{00000000-0005-0000-0000-0000080A0000}"/>
    <cellStyle name="Normal 3 3 6" xfId="2564" xr:uid="{00000000-0005-0000-0000-0000090A0000}"/>
    <cellStyle name="Normal 3 3 7" xfId="2565" xr:uid="{00000000-0005-0000-0000-00000A0A0000}"/>
    <cellStyle name="Normal 3 4" xfId="2566" xr:uid="{00000000-0005-0000-0000-00000B0A0000}"/>
    <cellStyle name="Normal 3 4 2" xfId="2567" xr:uid="{00000000-0005-0000-0000-00000C0A0000}"/>
    <cellStyle name="Normal 3 4 2 2" xfId="2568" xr:uid="{00000000-0005-0000-0000-00000D0A0000}"/>
    <cellStyle name="Normal 3 4 2 2 2" xfId="2569" xr:uid="{00000000-0005-0000-0000-00000E0A0000}"/>
    <cellStyle name="Normal 3 4 2 2 2 2" xfId="2570" xr:uid="{00000000-0005-0000-0000-00000F0A0000}"/>
    <cellStyle name="Normal 3 4 2 2 3" xfId="2571" xr:uid="{00000000-0005-0000-0000-0000100A0000}"/>
    <cellStyle name="Normal 3 4 2 2 4" xfId="2572" xr:uid="{00000000-0005-0000-0000-0000110A0000}"/>
    <cellStyle name="Normal 3 4 2 3" xfId="2573" xr:uid="{00000000-0005-0000-0000-0000120A0000}"/>
    <cellStyle name="Normal 3 4 2 3 2" xfId="2574" xr:uid="{00000000-0005-0000-0000-0000130A0000}"/>
    <cellStyle name="Normal 3 4 2 4" xfId="2575" xr:uid="{00000000-0005-0000-0000-0000140A0000}"/>
    <cellStyle name="Normal 3 4 2 5" xfId="2576" xr:uid="{00000000-0005-0000-0000-0000150A0000}"/>
    <cellStyle name="Normal 3 4 3" xfId="2577" xr:uid="{00000000-0005-0000-0000-0000160A0000}"/>
    <cellStyle name="Normal 3 4 3 2" xfId="2578" xr:uid="{00000000-0005-0000-0000-0000170A0000}"/>
    <cellStyle name="Normal 3 4 3 2 2" xfId="2579" xr:uid="{00000000-0005-0000-0000-0000180A0000}"/>
    <cellStyle name="Normal 3 4 3 3" xfId="2580" xr:uid="{00000000-0005-0000-0000-0000190A0000}"/>
    <cellStyle name="Normal 3 4 3 4" xfId="2581" xr:uid="{00000000-0005-0000-0000-00001A0A0000}"/>
    <cellStyle name="Normal 3 4 4" xfId="2582" xr:uid="{00000000-0005-0000-0000-00001B0A0000}"/>
    <cellStyle name="Normal 3 4 4 2" xfId="2583" xr:uid="{00000000-0005-0000-0000-00001C0A0000}"/>
    <cellStyle name="Normal 3 4 5" xfId="2584" xr:uid="{00000000-0005-0000-0000-00001D0A0000}"/>
    <cellStyle name="Normal 3 4 5 2" xfId="2585" xr:uid="{00000000-0005-0000-0000-00001E0A0000}"/>
    <cellStyle name="Normal 3 4 6" xfId="2586" xr:uid="{00000000-0005-0000-0000-00001F0A0000}"/>
    <cellStyle name="Normal 3 4 7" xfId="2587" xr:uid="{00000000-0005-0000-0000-0000200A0000}"/>
    <cellStyle name="Normal 3 5" xfId="2588" xr:uid="{00000000-0005-0000-0000-0000210A0000}"/>
    <cellStyle name="Normal 3 5 2" xfId="2589" xr:uid="{00000000-0005-0000-0000-0000220A0000}"/>
    <cellStyle name="Normal 3 5 2 2" xfId="2590" xr:uid="{00000000-0005-0000-0000-0000230A0000}"/>
    <cellStyle name="Normal 3 5 2 2 2" xfId="2591" xr:uid="{00000000-0005-0000-0000-0000240A0000}"/>
    <cellStyle name="Normal 3 5 2 2 2 2" xfId="2592" xr:uid="{00000000-0005-0000-0000-0000250A0000}"/>
    <cellStyle name="Normal 3 5 2 2 3" xfId="2593" xr:uid="{00000000-0005-0000-0000-0000260A0000}"/>
    <cellStyle name="Normal 3 5 2 2 4" xfId="2594" xr:uid="{00000000-0005-0000-0000-0000270A0000}"/>
    <cellStyle name="Normal 3 5 2 3" xfId="2595" xr:uid="{00000000-0005-0000-0000-0000280A0000}"/>
    <cellStyle name="Normal 3 5 2 3 2" xfId="2596" xr:uid="{00000000-0005-0000-0000-0000290A0000}"/>
    <cellStyle name="Normal 3 5 2 4" xfId="2597" xr:uid="{00000000-0005-0000-0000-00002A0A0000}"/>
    <cellStyle name="Normal 3 5 2 5" xfId="2598" xr:uid="{00000000-0005-0000-0000-00002B0A0000}"/>
    <cellStyle name="Normal 3 5 3" xfId="2599" xr:uid="{00000000-0005-0000-0000-00002C0A0000}"/>
    <cellStyle name="Normal 3 5 3 2" xfId="2600" xr:uid="{00000000-0005-0000-0000-00002D0A0000}"/>
    <cellStyle name="Normal 3 5 3 2 2" xfId="2601" xr:uid="{00000000-0005-0000-0000-00002E0A0000}"/>
    <cellStyle name="Normal 3 5 3 3" xfId="2602" xr:uid="{00000000-0005-0000-0000-00002F0A0000}"/>
    <cellStyle name="Normal 3 5 3 4" xfId="2603" xr:uid="{00000000-0005-0000-0000-0000300A0000}"/>
    <cellStyle name="Normal 3 5 4" xfId="2604" xr:uid="{00000000-0005-0000-0000-0000310A0000}"/>
    <cellStyle name="Normal 3 5 4 2" xfId="2605" xr:uid="{00000000-0005-0000-0000-0000320A0000}"/>
    <cellStyle name="Normal 3 5 5" xfId="2606" xr:uid="{00000000-0005-0000-0000-0000330A0000}"/>
    <cellStyle name="Normal 3 5 6" xfId="2607" xr:uid="{00000000-0005-0000-0000-0000340A0000}"/>
    <cellStyle name="Normal 3 6" xfId="2608" xr:uid="{00000000-0005-0000-0000-0000350A0000}"/>
    <cellStyle name="Normal 3 6 2" xfId="2609" xr:uid="{00000000-0005-0000-0000-0000360A0000}"/>
    <cellStyle name="Normal 3 6 2 2" xfId="2610" xr:uid="{00000000-0005-0000-0000-0000370A0000}"/>
    <cellStyle name="Normal 3 6 2 2 2" xfId="2611" xr:uid="{00000000-0005-0000-0000-0000380A0000}"/>
    <cellStyle name="Normal 3 6 2 2 2 2" xfId="2612" xr:uid="{00000000-0005-0000-0000-0000390A0000}"/>
    <cellStyle name="Normal 3 6 2 2 3" xfId="2613" xr:uid="{00000000-0005-0000-0000-00003A0A0000}"/>
    <cellStyle name="Normal 3 6 2 2 4" xfId="2614" xr:uid="{00000000-0005-0000-0000-00003B0A0000}"/>
    <cellStyle name="Normal 3 6 2 3" xfId="2615" xr:uid="{00000000-0005-0000-0000-00003C0A0000}"/>
    <cellStyle name="Normal 3 6 2 3 2" xfId="2616" xr:uid="{00000000-0005-0000-0000-00003D0A0000}"/>
    <cellStyle name="Normal 3 6 2 4" xfId="2617" xr:uid="{00000000-0005-0000-0000-00003E0A0000}"/>
    <cellStyle name="Normal 3 6 2 5" xfId="2618" xr:uid="{00000000-0005-0000-0000-00003F0A0000}"/>
    <cellStyle name="Normal 3 6 3" xfId="2619" xr:uid="{00000000-0005-0000-0000-0000400A0000}"/>
    <cellStyle name="Normal 3 6 3 2" xfId="2620" xr:uid="{00000000-0005-0000-0000-0000410A0000}"/>
    <cellStyle name="Normal 3 6 3 2 2" xfId="2621" xr:uid="{00000000-0005-0000-0000-0000420A0000}"/>
    <cellStyle name="Normal 3 6 3 3" xfId="2622" xr:uid="{00000000-0005-0000-0000-0000430A0000}"/>
    <cellStyle name="Normal 3 6 3 4" xfId="2623" xr:uid="{00000000-0005-0000-0000-0000440A0000}"/>
    <cellStyle name="Normal 3 6 4" xfId="2624" xr:uid="{00000000-0005-0000-0000-0000450A0000}"/>
    <cellStyle name="Normal 3 6 4 2" xfId="2625" xr:uid="{00000000-0005-0000-0000-0000460A0000}"/>
    <cellStyle name="Normal 3 6 5" xfId="2626" xr:uid="{00000000-0005-0000-0000-0000470A0000}"/>
    <cellStyle name="Normal 3 6 6" xfId="2627" xr:uid="{00000000-0005-0000-0000-0000480A0000}"/>
    <cellStyle name="Normal 3 7" xfId="2628" xr:uid="{00000000-0005-0000-0000-0000490A0000}"/>
    <cellStyle name="Normal 3 7 2" xfId="2629" xr:uid="{00000000-0005-0000-0000-00004A0A0000}"/>
    <cellStyle name="Normal 3 7 2 2" xfId="2630" xr:uid="{00000000-0005-0000-0000-00004B0A0000}"/>
    <cellStyle name="Normal 3 7 2 2 2" xfId="2631" xr:uid="{00000000-0005-0000-0000-00004C0A0000}"/>
    <cellStyle name="Normal 3 7 2 2 2 2" xfId="2632" xr:uid="{00000000-0005-0000-0000-00004D0A0000}"/>
    <cellStyle name="Normal 3 7 2 2 3" xfId="2633" xr:uid="{00000000-0005-0000-0000-00004E0A0000}"/>
    <cellStyle name="Normal 3 7 2 2 4" xfId="2634" xr:uid="{00000000-0005-0000-0000-00004F0A0000}"/>
    <cellStyle name="Normal 3 7 2 3" xfId="2635" xr:uid="{00000000-0005-0000-0000-0000500A0000}"/>
    <cellStyle name="Normal 3 7 2 3 2" xfId="2636" xr:uid="{00000000-0005-0000-0000-0000510A0000}"/>
    <cellStyle name="Normal 3 7 2 4" xfId="2637" xr:uid="{00000000-0005-0000-0000-0000520A0000}"/>
    <cellStyle name="Normal 3 7 2 5" xfId="2638" xr:uid="{00000000-0005-0000-0000-0000530A0000}"/>
    <cellStyle name="Normal 3 7 3" xfId="2639" xr:uid="{00000000-0005-0000-0000-0000540A0000}"/>
    <cellStyle name="Normal 3 7 3 2" xfId="2640" xr:uid="{00000000-0005-0000-0000-0000550A0000}"/>
    <cellStyle name="Normal 3 7 3 2 2" xfId="2641" xr:uid="{00000000-0005-0000-0000-0000560A0000}"/>
    <cellStyle name="Normal 3 7 3 3" xfId="2642" xr:uid="{00000000-0005-0000-0000-0000570A0000}"/>
    <cellStyle name="Normal 3 7 3 4" xfId="2643" xr:uid="{00000000-0005-0000-0000-0000580A0000}"/>
    <cellStyle name="Normal 3 7 4" xfId="2644" xr:uid="{00000000-0005-0000-0000-0000590A0000}"/>
    <cellStyle name="Normal 3 7 4 2" xfId="2645" xr:uid="{00000000-0005-0000-0000-00005A0A0000}"/>
    <cellStyle name="Normal 3 7 5" xfId="2646" xr:uid="{00000000-0005-0000-0000-00005B0A0000}"/>
    <cellStyle name="Normal 3 7 6" xfId="2647" xr:uid="{00000000-0005-0000-0000-00005C0A0000}"/>
    <cellStyle name="Normal 3 8" xfId="2648" xr:uid="{00000000-0005-0000-0000-00005D0A0000}"/>
    <cellStyle name="Normal 3 8 2" xfId="2649" xr:uid="{00000000-0005-0000-0000-00005E0A0000}"/>
    <cellStyle name="Normal 3 8 2 2" xfId="2650" xr:uid="{00000000-0005-0000-0000-00005F0A0000}"/>
    <cellStyle name="Normal 3 8 2 2 2" xfId="2651" xr:uid="{00000000-0005-0000-0000-0000600A0000}"/>
    <cellStyle name="Normal 3 8 2 3" xfId="2652" xr:uid="{00000000-0005-0000-0000-0000610A0000}"/>
    <cellStyle name="Normal 3 8 2 4" xfId="2653" xr:uid="{00000000-0005-0000-0000-0000620A0000}"/>
    <cellStyle name="Normal 3 8 3" xfId="2654" xr:uid="{00000000-0005-0000-0000-0000630A0000}"/>
    <cellStyle name="Normal 3 8 3 2" xfId="2655" xr:uid="{00000000-0005-0000-0000-0000640A0000}"/>
    <cellStyle name="Normal 3 8 4" xfId="2656" xr:uid="{00000000-0005-0000-0000-0000650A0000}"/>
    <cellStyle name="Normal 3 8 5" xfId="2657" xr:uid="{00000000-0005-0000-0000-0000660A0000}"/>
    <cellStyle name="Normal 3 9" xfId="2658" xr:uid="{00000000-0005-0000-0000-0000670A0000}"/>
    <cellStyle name="Normal 3 9 2" xfId="2659" xr:uid="{00000000-0005-0000-0000-0000680A0000}"/>
    <cellStyle name="Normal 3 9 2 2" xfId="2660" xr:uid="{00000000-0005-0000-0000-0000690A0000}"/>
    <cellStyle name="Normal 3 9 2 2 2" xfId="2661" xr:uid="{00000000-0005-0000-0000-00006A0A0000}"/>
    <cellStyle name="Normal 3 9 2 3" xfId="2662" xr:uid="{00000000-0005-0000-0000-00006B0A0000}"/>
    <cellStyle name="Normal 3 9 2 4" xfId="2663" xr:uid="{00000000-0005-0000-0000-00006C0A0000}"/>
    <cellStyle name="Normal 3 9 3" xfId="2664" xr:uid="{00000000-0005-0000-0000-00006D0A0000}"/>
    <cellStyle name="Normal 3 9 3 2" xfId="2665" xr:uid="{00000000-0005-0000-0000-00006E0A0000}"/>
    <cellStyle name="Normal 3 9 4" xfId="2666" xr:uid="{00000000-0005-0000-0000-00006F0A0000}"/>
    <cellStyle name="Normal 3 9 5" xfId="2667" xr:uid="{00000000-0005-0000-0000-0000700A0000}"/>
    <cellStyle name="Normal 4" xfId="2668" xr:uid="{00000000-0005-0000-0000-0000710A0000}"/>
    <cellStyle name="Normal 4 2" xfId="2669" xr:uid="{00000000-0005-0000-0000-0000720A0000}"/>
    <cellStyle name="Normal 5" xfId="2670" xr:uid="{00000000-0005-0000-0000-0000730A0000}"/>
    <cellStyle name="Normal 5 2" xfId="2671" xr:uid="{00000000-0005-0000-0000-0000740A0000}"/>
    <cellStyle name="Normal 5 3" xfId="2672" xr:uid="{00000000-0005-0000-0000-0000750A0000}"/>
    <cellStyle name="Normal 5 4" xfId="2673" xr:uid="{00000000-0005-0000-0000-0000760A0000}"/>
    <cellStyle name="Normal 6" xfId="2674" xr:uid="{00000000-0005-0000-0000-0000770A0000}"/>
    <cellStyle name="Normal 6 10" xfId="2675" xr:uid="{00000000-0005-0000-0000-0000780A0000}"/>
    <cellStyle name="Normal 6 10 2" xfId="2676" xr:uid="{00000000-0005-0000-0000-0000790A0000}"/>
    <cellStyle name="Normal 6 11" xfId="2677" xr:uid="{00000000-0005-0000-0000-00007A0A0000}"/>
    <cellStyle name="Normal 6 2" xfId="2678" xr:uid="{00000000-0005-0000-0000-00007B0A0000}"/>
    <cellStyle name="Normal 6 2 2" xfId="2679" xr:uid="{00000000-0005-0000-0000-00007C0A0000}"/>
    <cellStyle name="Normal 6 2 2 2" xfId="2680" xr:uid="{00000000-0005-0000-0000-00007D0A0000}"/>
    <cellStyle name="Normal 6 2 2 2 2" xfId="2681" xr:uid="{00000000-0005-0000-0000-00007E0A0000}"/>
    <cellStyle name="Normal 6 2 2 2 2 2" xfId="2682" xr:uid="{00000000-0005-0000-0000-00007F0A0000}"/>
    <cellStyle name="Normal 6 2 2 2 2 2 2" xfId="2683" xr:uid="{00000000-0005-0000-0000-0000800A0000}"/>
    <cellStyle name="Normal 6 2 2 2 2 3" xfId="2684" xr:uid="{00000000-0005-0000-0000-0000810A0000}"/>
    <cellStyle name="Normal 6 2 2 2 2 4" xfId="2685" xr:uid="{00000000-0005-0000-0000-0000820A0000}"/>
    <cellStyle name="Normal 6 2 2 2 3" xfId="2686" xr:uid="{00000000-0005-0000-0000-0000830A0000}"/>
    <cellStyle name="Normal 6 2 2 2 3 2" xfId="2687" xr:uid="{00000000-0005-0000-0000-0000840A0000}"/>
    <cellStyle name="Normal 6 2 2 2 4" xfId="2688" xr:uid="{00000000-0005-0000-0000-0000850A0000}"/>
    <cellStyle name="Normal 6 2 2 2 5" xfId="2689" xr:uid="{00000000-0005-0000-0000-0000860A0000}"/>
    <cellStyle name="Normal 6 2 2 3" xfId="2690" xr:uid="{00000000-0005-0000-0000-0000870A0000}"/>
    <cellStyle name="Normal 6 2 2 3 2" xfId="2691" xr:uid="{00000000-0005-0000-0000-0000880A0000}"/>
    <cellStyle name="Normal 6 2 2 3 2 2" xfId="2692" xr:uid="{00000000-0005-0000-0000-0000890A0000}"/>
    <cellStyle name="Normal 6 2 2 3 3" xfId="2693" xr:uid="{00000000-0005-0000-0000-00008A0A0000}"/>
    <cellStyle name="Normal 6 2 2 3 4" xfId="2694" xr:uid="{00000000-0005-0000-0000-00008B0A0000}"/>
    <cellStyle name="Normal 6 2 2 4" xfId="2695" xr:uid="{00000000-0005-0000-0000-00008C0A0000}"/>
    <cellStyle name="Normal 6 2 2 4 2" xfId="2696" xr:uid="{00000000-0005-0000-0000-00008D0A0000}"/>
    <cellStyle name="Normal 6 2 2 5" xfId="2697" xr:uid="{00000000-0005-0000-0000-00008E0A0000}"/>
    <cellStyle name="Normal 6 2 2 5 2" xfId="2698" xr:uid="{00000000-0005-0000-0000-00008F0A0000}"/>
    <cellStyle name="Normal 6 2 2 6" xfId="2699" xr:uid="{00000000-0005-0000-0000-0000900A0000}"/>
    <cellStyle name="Normal 6 2 2 7" xfId="2700" xr:uid="{00000000-0005-0000-0000-0000910A0000}"/>
    <cellStyle name="Normal 6 2 3" xfId="2701" xr:uid="{00000000-0005-0000-0000-0000920A0000}"/>
    <cellStyle name="Normal 6 2 3 2" xfId="2702" xr:uid="{00000000-0005-0000-0000-0000930A0000}"/>
    <cellStyle name="Normal 6 2 3 2 2" xfId="2703" xr:uid="{00000000-0005-0000-0000-0000940A0000}"/>
    <cellStyle name="Normal 6 2 3 2 2 2" xfId="2704" xr:uid="{00000000-0005-0000-0000-0000950A0000}"/>
    <cellStyle name="Normal 6 2 3 2 3" xfId="2705" xr:uid="{00000000-0005-0000-0000-0000960A0000}"/>
    <cellStyle name="Normal 6 2 3 2 4" xfId="2706" xr:uid="{00000000-0005-0000-0000-0000970A0000}"/>
    <cellStyle name="Normal 6 2 3 3" xfId="2707" xr:uid="{00000000-0005-0000-0000-0000980A0000}"/>
    <cellStyle name="Normal 6 2 3 3 2" xfId="2708" xr:uid="{00000000-0005-0000-0000-0000990A0000}"/>
    <cellStyle name="Normal 6 2 3 4" xfId="2709" xr:uid="{00000000-0005-0000-0000-00009A0A0000}"/>
    <cellStyle name="Normal 6 2 3 5" xfId="2710" xr:uid="{00000000-0005-0000-0000-00009B0A0000}"/>
    <cellStyle name="Normal 6 2 4" xfId="2711" xr:uid="{00000000-0005-0000-0000-00009C0A0000}"/>
    <cellStyle name="Normal 6 2 4 2" xfId="2712" xr:uid="{00000000-0005-0000-0000-00009D0A0000}"/>
    <cellStyle name="Normal 6 2 4 2 2" xfId="2713" xr:uid="{00000000-0005-0000-0000-00009E0A0000}"/>
    <cellStyle name="Normal 6 2 4 3" xfId="2714" xr:uid="{00000000-0005-0000-0000-00009F0A0000}"/>
    <cellStyle name="Normal 6 2 4 4" xfId="2715" xr:uid="{00000000-0005-0000-0000-0000A00A0000}"/>
    <cellStyle name="Normal 6 2 5" xfId="2716" xr:uid="{00000000-0005-0000-0000-0000A10A0000}"/>
    <cellStyle name="Normal 6 2 5 2" xfId="2717" xr:uid="{00000000-0005-0000-0000-0000A20A0000}"/>
    <cellStyle name="Normal 6 2 6" xfId="2718" xr:uid="{00000000-0005-0000-0000-0000A30A0000}"/>
    <cellStyle name="Normal 6 2 6 2" xfId="2719" xr:uid="{00000000-0005-0000-0000-0000A40A0000}"/>
    <cellStyle name="Normal 6 2 7" xfId="2720" xr:uid="{00000000-0005-0000-0000-0000A50A0000}"/>
    <cellStyle name="Normal 6 2 8" xfId="2721" xr:uid="{00000000-0005-0000-0000-0000A60A0000}"/>
    <cellStyle name="Normal 6 3" xfId="2722" xr:uid="{00000000-0005-0000-0000-0000A70A0000}"/>
    <cellStyle name="Normal 6 3 2" xfId="2723" xr:uid="{00000000-0005-0000-0000-0000A80A0000}"/>
    <cellStyle name="Normal 6 3 2 2" xfId="2724" xr:uid="{00000000-0005-0000-0000-0000A90A0000}"/>
    <cellStyle name="Normal 6 3 2 2 2" xfId="2725" xr:uid="{00000000-0005-0000-0000-0000AA0A0000}"/>
    <cellStyle name="Normal 6 3 2 2 2 2" xfId="2726" xr:uid="{00000000-0005-0000-0000-0000AB0A0000}"/>
    <cellStyle name="Normal 6 3 2 2 3" xfId="2727" xr:uid="{00000000-0005-0000-0000-0000AC0A0000}"/>
    <cellStyle name="Normal 6 3 2 2 4" xfId="2728" xr:uid="{00000000-0005-0000-0000-0000AD0A0000}"/>
    <cellStyle name="Normal 6 3 2 3" xfId="2729" xr:uid="{00000000-0005-0000-0000-0000AE0A0000}"/>
    <cellStyle name="Normal 6 3 2 3 2" xfId="2730" xr:uid="{00000000-0005-0000-0000-0000AF0A0000}"/>
    <cellStyle name="Normal 6 3 2 4" xfId="2731" xr:uid="{00000000-0005-0000-0000-0000B00A0000}"/>
    <cellStyle name="Normal 6 3 2 5" xfId="2732" xr:uid="{00000000-0005-0000-0000-0000B10A0000}"/>
    <cellStyle name="Normal 6 3 3" xfId="2733" xr:uid="{00000000-0005-0000-0000-0000B20A0000}"/>
    <cellStyle name="Normal 6 3 3 2" xfId="2734" xr:uid="{00000000-0005-0000-0000-0000B30A0000}"/>
    <cellStyle name="Normal 6 3 3 2 2" xfId="2735" xr:uid="{00000000-0005-0000-0000-0000B40A0000}"/>
    <cellStyle name="Normal 6 3 3 3" xfId="2736" xr:uid="{00000000-0005-0000-0000-0000B50A0000}"/>
    <cellStyle name="Normal 6 3 3 4" xfId="2737" xr:uid="{00000000-0005-0000-0000-0000B60A0000}"/>
    <cellStyle name="Normal 6 3 4" xfId="2738" xr:uid="{00000000-0005-0000-0000-0000B70A0000}"/>
    <cellStyle name="Normal 6 3 4 2" xfId="2739" xr:uid="{00000000-0005-0000-0000-0000B80A0000}"/>
    <cellStyle name="Normal 6 3 5" xfId="2740" xr:uid="{00000000-0005-0000-0000-0000B90A0000}"/>
    <cellStyle name="Normal 6 3 5 2" xfId="2741" xr:uid="{00000000-0005-0000-0000-0000BA0A0000}"/>
    <cellStyle name="Normal 6 3 6" xfId="2742" xr:uid="{00000000-0005-0000-0000-0000BB0A0000}"/>
    <cellStyle name="Normal 6 3 7" xfId="2743" xr:uid="{00000000-0005-0000-0000-0000BC0A0000}"/>
    <cellStyle name="Normal 6 4" xfId="2744" xr:uid="{00000000-0005-0000-0000-0000BD0A0000}"/>
    <cellStyle name="Normal 6 5" xfId="2745" xr:uid="{00000000-0005-0000-0000-0000BE0A0000}"/>
    <cellStyle name="Normal 6 6" xfId="2746" xr:uid="{00000000-0005-0000-0000-0000BF0A0000}"/>
    <cellStyle name="Normal 6 6 2" xfId="2747" xr:uid="{00000000-0005-0000-0000-0000C00A0000}"/>
    <cellStyle name="Normal 6 6 2 2" xfId="2748" xr:uid="{00000000-0005-0000-0000-0000C10A0000}"/>
    <cellStyle name="Normal 6 6 2 2 2" xfId="2749" xr:uid="{00000000-0005-0000-0000-0000C20A0000}"/>
    <cellStyle name="Normal 6 6 2 2 2 2" xfId="2750" xr:uid="{00000000-0005-0000-0000-0000C30A0000}"/>
    <cellStyle name="Normal 6 6 2 2 3" xfId="2751" xr:uid="{00000000-0005-0000-0000-0000C40A0000}"/>
    <cellStyle name="Normal 6 6 2 2 4" xfId="2752" xr:uid="{00000000-0005-0000-0000-0000C50A0000}"/>
    <cellStyle name="Normal 6 6 2 3" xfId="2753" xr:uid="{00000000-0005-0000-0000-0000C60A0000}"/>
    <cellStyle name="Normal 6 6 2 3 2" xfId="2754" xr:uid="{00000000-0005-0000-0000-0000C70A0000}"/>
    <cellStyle name="Normal 6 6 2 4" xfId="2755" xr:uid="{00000000-0005-0000-0000-0000C80A0000}"/>
    <cellStyle name="Normal 6 6 2 5" xfId="2756" xr:uid="{00000000-0005-0000-0000-0000C90A0000}"/>
    <cellStyle name="Normal 6 6 3" xfId="2757" xr:uid="{00000000-0005-0000-0000-0000CA0A0000}"/>
    <cellStyle name="Normal 6 6 3 2" xfId="2758" xr:uid="{00000000-0005-0000-0000-0000CB0A0000}"/>
    <cellStyle name="Normal 6 6 3 2 2" xfId="2759" xr:uid="{00000000-0005-0000-0000-0000CC0A0000}"/>
    <cellStyle name="Normal 6 6 3 3" xfId="2760" xr:uid="{00000000-0005-0000-0000-0000CD0A0000}"/>
    <cellStyle name="Normal 6 6 3 4" xfId="2761" xr:uid="{00000000-0005-0000-0000-0000CE0A0000}"/>
    <cellStyle name="Normal 6 6 4" xfId="2762" xr:uid="{00000000-0005-0000-0000-0000CF0A0000}"/>
    <cellStyle name="Normal 6 6 4 2" xfId="2763" xr:uid="{00000000-0005-0000-0000-0000D00A0000}"/>
    <cellStyle name="Normal 6 6 5" xfId="2764" xr:uid="{00000000-0005-0000-0000-0000D10A0000}"/>
    <cellStyle name="Normal 6 6 6" xfId="2765" xr:uid="{00000000-0005-0000-0000-0000D20A0000}"/>
    <cellStyle name="Normal 6 7" xfId="2766" xr:uid="{00000000-0005-0000-0000-0000D30A0000}"/>
    <cellStyle name="Normal 6 7 2" xfId="2767" xr:uid="{00000000-0005-0000-0000-0000D40A0000}"/>
    <cellStyle name="Normal 6 7 2 2" xfId="2768" xr:uid="{00000000-0005-0000-0000-0000D50A0000}"/>
    <cellStyle name="Normal 6 7 2 2 2" xfId="2769" xr:uid="{00000000-0005-0000-0000-0000D60A0000}"/>
    <cellStyle name="Normal 6 7 2 2 2 2" xfId="2770" xr:uid="{00000000-0005-0000-0000-0000D70A0000}"/>
    <cellStyle name="Normal 6 7 2 2 3" xfId="2771" xr:uid="{00000000-0005-0000-0000-0000D80A0000}"/>
    <cellStyle name="Normal 6 7 2 2 4" xfId="2772" xr:uid="{00000000-0005-0000-0000-0000D90A0000}"/>
    <cellStyle name="Normal 6 7 2 3" xfId="2773" xr:uid="{00000000-0005-0000-0000-0000DA0A0000}"/>
    <cellStyle name="Normal 6 7 2 3 2" xfId="2774" xr:uid="{00000000-0005-0000-0000-0000DB0A0000}"/>
    <cellStyle name="Normal 6 7 2 4" xfId="2775" xr:uid="{00000000-0005-0000-0000-0000DC0A0000}"/>
    <cellStyle name="Normal 6 7 2 5" xfId="2776" xr:uid="{00000000-0005-0000-0000-0000DD0A0000}"/>
    <cellStyle name="Normal 6 7 3" xfId="2777" xr:uid="{00000000-0005-0000-0000-0000DE0A0000}"/>
    <cellStyle name="Normal 6 7 3 2" xfId="2778" xr:uid="{00000000-0005-0000-0000-0000DF0A0000}"/>
    <cellStyle name="Normal 6 7 3 2 2" xfId="2779" xr:uid="{00000000-0005-0000-0000-0000E00A0000}"/>
    <cellStyle name="Normal 6 7 3 3" xfId="2780" xr:uid="{00000000-0005-0000-0000-0000E10A0000}"/>
    <cellStyle name="Normal 6 7 3 4" xfId="2781" xr:uid="{00000000-0005-0000-0000-0000E20A0000}"/>
    <cellStyle name="Normal 6 7 4" xfId="2782" xr:uid="{00000000-0005-0000-0000-0000E30A0000}"/>
    <cellStyle name="Normal 6 7 4 2" xfId="2783" xr:uid="{00000000-0005-0000-0000-0000E40A0000}"/>
    <cellStyle name="Normal 6 7 5" xfId="2784" xr:uid="{00000000-0005-0000-0000-0000E50A0000}"/>
    <cellStyle name="Normal 6 7 6" xfId="2785" xr:uid="{00000000-0005-0000-0000-0000E60A0000}"/>
    <cellStyle name="Normal 6 8" xfId="2786" xr:uid="{00000000-0005-0000-0000-0000E70A0000}"/>
    <cellStyle name="Normal 6 8 2" xfId="2787" xr:uid="{00000000-0005-0000-0000-0000E80A0000}"/>
    <cellStyle name="Normal 6 8 2 2" xfId="2788" xr:uid="{00000000-0005-0000-0000-0000E90A0000}"/>
    <cellStyle name="Normal 6 8 2 2 2" xfId="2789" xr:uid="{00000000-0005-0000-0000-0000EA0A0000}"/>
    <cellStyle name="Normal 6 8 2 3" xfId="2790" xr:uid="{00000000-0005-0000-0000-0000EB0A0000}"/>
    <cellStyle name="Normal 6 8 2 4" xfId="2791" xr:uid="{00000000-0005-0000-0000-0000EC0A0000}"/>
    <cellStyle name="Normal 6 8 3" xfId="2792" xr:uid="{00000000-0005-0000-0000-0000ED0A0000}"/>
    <cellStyle name="Normal 6 8 3 2" xfId="2793" xr:uid="{00000000-0005-0000-0000-0000EE0A0000}"/>
    <cellStyle name="Normal 6 8 4" xfId="2794" xr:uid="{00000000-0005-0000-0000-0000EF0A0000}"/>
    <cellStyle name="Normal 6 8 5" xfId="2795" xr:uid="{00000000-0005-0000-0000-0000F00A0000}"/>
    <cellStyle name="Normal 6 9" xfId="2796" xr:uid="{00000000-0005-0000-0000-0000F10A0000}"/>
    <cellStyle name="Normal 6 9 2" xfId="2797" xr:uid="{00000000-0005-0000-0000-0000F20A0000}"/>
    <cellStyle name="Normal 6 9 2 2" xfId="2798" xr:uid="{00000000-0005-0000-0000-0000F30A0000}"/>
    <cellStyle name="Normal 6 9 3" xfId="2799" xr:uid="{00000000-0005-0000-0000-0000F40A0000}"/>
    <cellStyle name="Normal 6 9 4" xfId="2800" xr:uid="{00000000-0005-0000-0000-0000F50A0000}"/>
    <cellStyle name="Normal 7" xfId="2801" xr:uid="{00000000-0005-0000-0000-0000F60A0000}"/>
    <cellStyle name="Normal 7 2" xfId="2802" xr:uid="{00000000-0005-0000-0000-0000F70A0000}"/>
    <cellStyle name="Normal 8" xfId="2803" xr:uid="{00000000-0005-0000-0000-0000F80A0000}"/>
    <cellStyle name="Normal 9" xfId="2804" xr:uid="{00000000-0005-0000-0000-0000F90A0000}"/>
    <cellStyle name="Normal 9 2" xfId="2805" xr:uid="{00000000-0005-0000-0000-0000FA0A0000}"/>
    <cellStyle name="Normal 9 2 2" xfId="2806" xr:uid="{00000000-0005-0000-0000-0000FB0A0000}"/>
    <cellStyle name="Normal 9 2 2 2" xfId="2807" xr:uid="{00000000-0005-0000-0000-0000FC0A0000}"/>
    <cellStyle name="Normal 9 2 2 2 2" xfId="2808" xr:uid="{00000000-0005-0000-0000-0000FD0A0000}"/>
    <cellStyle name="Normal 9 2 2 3" xfId="2809" xr:uid="{00000000-0005-0000-0000-0000FE0A0000}"/>
    <cellStyle name="Normal 9 2 2 4" xfId="2810" xr:uid="{00000000-0005-0000-0000-0000FF0A0000}"/>
    <cellStyle name="Normal 9 2 3" xfId="2811" xr:uid="{00000000-0005-0000-0000-0000000B0000}"/>
    <cellStyle name="Normal 9 2 3 2" xfId="2812" xr:uid="{00000000-0005-0000-0000-0000010B0000}"/>
    <cellStyle name="Normal 9 2 4" xfId="2813" xr:uid="{00000000-0005-0000-0000-0000020B0000}"/>
    <cellStyle name="Normal 9 2 5" xfId="2814" xr:uid="{00000000-0005-0000-0000-0000030B0000}"/>
    <cellStyle name="Normal 9 3" xfId="2815" xr:uid="{00000000-0005-0000-0000-0000040B0000}"/>
    <cellStyle name="Normal 9 3 2" xfId="2816" xr:uid="{00000000-0005-0000-0000-0000050B0000}"/>
    <cellStyle name="Normal 9 3 2 2" xfId="2817" xr:uid="{00000000-0005-0000-0000-0000060B0000}"/>
    <cellStyle name="Normal 9 3 3" xfId="2818" xr:uid="{00000000-0005-0000-0000-0000070B0000}"/>
    <cellStyle name="Normal 9 3 4" xfId="2819" xr:uid="{00000000-0005-0000-0000-0000080B0000}"/>
    <cellStyle name="Normal 9 4" xfId="2820" xr:uid="{00000000-0005-0000-0000-0000090B0000}"/>
    <cellStyle name="Normal 9 4 2" xfId="2821" xr:uid="{00000000-0005-0000-0000-00000A0B0000}"/>
    <cellStyle name="Normal 9 5" xfId="2822" xr:uid="{00000000-0005-0000-0000-00000B0B0000}"/>
    <cellStyle name="Normal 9 5 2" xfId="2823" xr:uid="{00000000-0005-0000-0000-00000C0B0000}"/>
    <cellStyle name="Normal 9 6" xfId="2824" xr:uid="{00000000-0005-0000-0000-00000D0B0000}"/>
    <cellStyle name="Normal 9 7" xfId="2825" xr:uid="{00000000-0005-0000-0000-00000E0B0000}"/>
    <cellStyle name="Normal_2007-08 Figures in data report 2007-08" xfId="2985" xr:uid="{32270E9C-9144-4D80-BDE0-700353D7B2EF}"/>
    <cellStyle name="Normal_Sheet7" xfId="2986" xr:uid="{F4AD3D25-ED96-4502-B933-17B4ED58DEA4}"/>
    <cellStyle name="Note 2" xfId="2826" xr:uid="{00000000-0005-0000-0000-0000100B0000}"/>
    <cellStyle name="Note 2 2" xfId="2827" xr:uid="{00000000-0005-0000-0000-0000110B0000}"/>
    <cellStyle name="Note 2 2 2" xfId="2828" xr:uid="{00000000-0005-0000-0000-0000120B0000}"/>
    <cellStyle name="Note 2 3" xfId="2829" xr:uid="{00000000-0005-0000-0000-0000130B0000}"/>
    <cellStyle name="Note 3" xfId="2830" xr:uid="{00000000-0005-0000-0000-0000140B0000}"/>
    <cellStyle name="Output 2" xfId="2831" xr:uid="{00000000-0005-0000-0000-0000150B0000}"/>
    <cellStyle name="Output 3" xfId="2832" xr:uid="{00000000-0005-0000-0000-0000160B0000}"/>
    <cellStyle name="Percent" xfId="2982" builtinId="5"/>
    <cellStyle name="Percent 10" xfId="2833" xr:uid="{00000000-0005-0000-0000-0000180B0000}"/>
    <cellStyle name="Percent 10 2" xfId="2834" xr:uid="{00000000-0005-0000-0000-0000190B0000}"/>
    <cellStyle name="Percent 10 3" xfId="2980" xr:uid="{00000000-0005-0000-0000-00001A0B0000}"/>
    <cellStyle name="Percent 11" xfId="2835" xr:uid="{00000000-0005-0000-0000-00001B0B0000}"/>
    <cellStyle name="Percent 12" xfId="2978" xr:uid="{00000000-0005-0000-0000-00001C0B0000}"/>
    <cellStyle name="Percent 2" xfId="2836" xr:uid="{00000000-0005-0000-0000-00001D0B0000}"/>
    <cellStyle name="Percent 2 2" xfId="2837" xr:uid="{00000000-0005-0000-0000-00001E0B0000}"/>
    <cellStyle name="Percent 2 3" xfId="2838" xr:uid="{00000000-0005-0000-0000-00001F0B0000}"/>
    <cellStyle name="Percent 2 4" xfId="2839" xr:uid="{00000000-0005-0000-0000-0000200B0000}"/>
    <cellStyle name="Percent 3" xfId="2840" xr:uid="{00000000-0005-0000-0000-0000210B0000}"/>
    <cellStyle name="Percent 3 2" xfId="2841" xr:uid="{00000000-0005-0000-0000-0000220B0000}"/>
    <cellStyle name="Percent 4" xfId="2842" xr:uid="{00000000-0005-0000-0000-0000230B0000}"/>
    <cellStyle name="Percent 4 2" xfId="2843" xr:uid="{00000000-0005-0000-0000-0000240B0000}"/>
    <cellStyle name="Percent 4 2 2" xfId="2844" xr:uid="{00000000-0005-0000-0000-0000250B0000}"/>
    <cellStyle name="Percent 4 2 2 2" xfId="2845" xr:uid="{00000000-0005-0000-0000-0000260B0000}"/>
    <cellStyle name="Percent 4 2 2 2 2" xfId="2846" xr:uid="{00000000-0005-0000-0000-0000270B0000}"/>
    <cellStyle name="Percent 4 2 2 2 2 2" xfId="2847" xr:uid="{00000000-0005-0000-0000-0000280B0000}"/>
    <cellStyle name="Percent 4 2 2 2 3" xfId="2848" xr:uid="{00000000-0005-0000-0000-0000290B0000}"/>
    <cellStyle name="Percent 4 2 2 2 4" xfId="2849" xr:uid="{00000000-0005-0000-0000-00002A0B0000}"/>
    <cellStyle name="Percent 4 2 2 3" xfId="2850" xr:uid="{00000000-0005-0000-0000-00002B0B0000}"/>
    <cellStyle name="Percent 4 2 2 3 2" xfId="2851" xr:uid="{00000000-0005-0000-0000-00002C0B0000}"/>
    <cellStyle name="Percent 4 2 2 4" xfId="2852" xr:uid="{00000000-0005-0000-0000-00002D0B0000}"/>
    <cellStyle name="Percent 4 2 2 5" xfId="2853" xr:uid="{00000000-0005-0000-0000-00002E0B0000}"/>
    <cellStyle name="Percent 4 2 3" xfId="2854" xr:uid="{00000000-0005-0000-0000-00002F0B0000}"/>
    <cellStyle name="Percent 4 2 3 2" xfId="2855" xr:uid="{00000000-0005-0000-0000-0000300B0000}"/>
    <cellStyle name="Percent 4 2 3 2 2" xfId="2856" xr:uid="{00000000-0005-0000-0000-0000310B0000}"/>
    <cellStyle name="Percent 4 2 3 3" xfId="2857" xr:uid="{00000000-0005-0000-0000-0000320B0000}"/>
    <cellStyle name="Percent 4 2 3 4" xfId="2858" xr:uid="{00000000-0005-0000-0000-0000330B0000}"/>
    <cellStyle name="Percent 4 2 4" xfId="2859" xr:uid="{00000000-0005-0000-0000-0000340B0000}"/>
    <cellStyle name="Percent 4 2 4 2" xfId="2860" xr:uid="{00000000-0005-0000-0000-0000350B0000}"/>
    <cellStyle name="Percent 4 2 5" xfId="2861" xr:uid="{00000000-0005-0000-0000-0000360B0000}"/>
    <cellStyle name="Percent 4 2 5 2" xfId="2862" xr:uid="{00000000-0005-0000-0000-0000370B0000}"/>
    <cellStyle name="Percent 4 2 6" xfId="2863" xr:uid="{00000000-0005-0000-0000-0000380B0000}"/>
    <cellStyle name="Percent 4 2 6 2" xfId="2864" xr:uid="{00000000-0005-0000-0000-0000390B0000}"/>
    <cellStyle name="Percent 4 2 7" xfId="2865" xr:uid="{00000000-0005-0000-0000-00003A0B0000}"/>
    <cellStyle name="Percent 4 3" xfId="2866" xr:uid="{00000000-0005-0000-0000-00003B0B0000}"/>
    <cellStyle name="Percent 4 4" xfId="2867" xr:uid="{00000000-0005-0000-0000-00003C0B0000}"/>
    <cellStyle name="Percent 4 5" xfId="2868" xr:uid="{00000000-0005-0000-0000-00003D0B0000}"/>
    <cellStyle name="Percent 4 6" xfId="2869" xr:uid="{00000000-0005-0000-0000-00003E0B0000}"/>
    <cellStyle name="Percent 4 6 2" xfId="2870" xr:uid="{00000000-0005-0000-0000-00003F0B0000}"/>
    <cellStyle name="Percent 4 6 2 2" xfId="2871" xr:uid="{00000000-0005-0000-0000-0000400B0000}"/>
    <cellStyle name="Percent 4 6 2 2 2" xfId="2872" xr:uid="{00000000-0005-0000-0000-0000410B0000}"/>
    <cellStyle name="Percent 4 6 2 2 2 2" xfId="2873" xr:uid="{00000000-0005-0000-0000-0000420B0000}"/>
    <cellStyle name="Percent 4 6 2 2 3" xfId="2874" xr:uid="{00000000-0005-0000-0000-0000430B0000}"/>
    <cellStyle name="Percent 4 6 2 2 4" xfId="2875" xr:uid="{00000000-0005-0000-0000-0000440B0000}"/>
    <cellStyle name="Percent 4 6 2 3" xfId="2876" xr:uid="{00000000-0005-0000-0000-0000450B0000}"/>
    <cellStyle name="Percent 4 6 2 3 2" xfId="2877" xr:uid="{00000000-0005-0000-0000-0000460B0000}"/>
    <cellStyle name="Percent 4 6 2 4" xfId="2878" xr:uid="{00000000-0005-0000-0000-0000470B0000}"/>
    <cellStyle name="Percent 4 6 2 5" xfId="2879" xr:uid="{00000000-0005-0000-0000-0000480B0000}"/>
    <cellStyle name="Percent 4 6 3" xfId="2880" xr:uid="{00000000-0005-0000-0000-0000490B0000}"/>
    <cellStyle name="Percent 4 6 3 2" xfId="2881" xr:uid="{00000000-0005-0000-0000-00004A0B0000}"/>
    <cellStyle name="Percent 4 6 3 2 2" xfId="2882" xr:uid="{00000000-0005-0000-0000-00004B0B0000}"/>
    <cellStyle name="Percent 4 6 3 3" xfId="2883" xr:uid="{00000000-0005-0000-0000-00004C0B0000}"/>
    <cellStyle name="Percent 4 6 3 4" xfId="2884" xr:uid="{00000000-0005-0000-0000-00004D0B0000}"/>
    <cellStyle name="Percent 4 6 4" xfId="2885" xr:uid="{00000000-0005-0000-0000-00004E0B0000}"/>
    <cellStyle name="Percent 4 6 4 2" xfId="2886" xr:uid="{00000000-0005-0000-0000-00004F0B0000}"/>
    <cellStyle name="Percent 4 6 5" xfId="2887" xr:uid="{00000000-0005-0000-0000-0000500B0000}"/>
    <cellStyle name="Percent 4 6 6" xfId="2888" xr:uid="{00000000-0005-0000-0000-0000510B0000}"/>
    <cellStyle name="Percent 4 7" xfId="2889" xr:uid="{00000000-0005-0000-0000-0000520B0000}"/>
    <cellStyle name="Percent 4 8" xfId="2890" xr:uid="{00000000-0005-0000-0000-0000530B0000}"/>
    <cellStyle name="Percent 4 8 2" xfId="2891" xr:uid="{00000000-0005-0000-0000-0000540B0000}"/>
    <cellStyle name="Percent 4 8 2 2" xfId="2892" xr:uid="{00000000-0005-0000-0000-0000550B0000}"/>
    <cellStyle name="Percent 4 8 3" xfId="2893" xr:uid="{00000000-0005-0000-0000-0000560B0000}"/>
    <cellStyle name="Percent 4 8 4" xfId="2894" xr:uid="{00000000-0005-0000-0000-0000570B0000}"/>
    <cellStyle name="Percent 5" xfId="2895" xr:uid="{00000000-0005-0000-0000-0000580B0000}"/>
    <cellStyle name="Percent 5 2" xfId="2896" xr:uid="{00000000-0005-0000-0000-0000590B0000}"/>
    <cellStyle name="Percent 5 3" xfId="2897" xr:uid="{00000000-0005-0000-0000-00005A0B0000}"/>
    <cellStyle name="Percent 5 4" xfId="2898" xr:uid="{00000000-0005-0000-0000-00005B0B0000}"/>
    <cellStyle name="Percent 5 5" xfId="2899" xr:uid="{00000000-0005-0000-0000-00005C0B0000}"/>
    <cellStyle name="Percent 6" xfId="2900" xr:uid="{00000000-0005-0000-0000-00005D0B0000}"/>
    <cellStyle name="Percent 6 2" xfId="2901" xr:uid="{00000000-0005-0000-0000-00005E0B0000}"/>
    <cellStyle name="Percent 6 2 2" xfId="2902" xr:uid="{00000000-0005-0000-0000-00005F0B0000}"/>
    <cellStyle name="Percent 6 2 2 2" xfId="2903" xr:uid="{00000000-0005-0000-0000-0000600B0000}"/>
    <cellStyle name="Percent 6 2 2 2 2" xfId="2904" xr:uid="{00000000-0005-0000-0000-0000610B0000}"/>
    <cellStyle name="Percent 6 2 2 3" xfId="2905" xr:uid="{00000000-0005-0000-0000-0000620B0000}"/>
    <cellStyle name="Percent 6 2 2 4" xfId="2906" xr:uid="{00000000-0005-0000-0000-0000630B0000}"/>
    <cellStyle name="Percent 6 2 3" xfId="2907" xr:uid="{00000000-0005-0000-0000-0000640B0000}"/>
    <cellStyle name="Percent 6 2 3 2" xfId="2908" xr:uid="{00000000-0005-0000-0000-0000650B0000}"/>
    <cellStyle name="Percent 6 2 4" xfId="2909" xr:uid="{00000000-0005-0000-0000-0000660B0000}"/>
    <cellStyle name="Percent 6 2 5" xfId="2910" xr:uid="{00000000-0005-0000-0000-0000670B0000}"/>
    <cellStyle name="Percent 6 3" xfId="2911" xr:uid="{00000000-0005-0000-0000-0000680B0000}"/>
    <cellStyle name="Percent 6 3 2" xfId="2912" xr:uid="{00000000-0005-0000-0000-0000690B0000}"/>
    <cellStyle name="Percent 6 3 2 2" xfId="2913" xr:uid="{00000000-0005-0000-0000-00006A0B0000}"/>
    <cellStyle name="Percent 6 3 3" xfId="2914" xr:uid="{00000000-0005-0000-0000-00006B0B0000}"/>
    <cellStyle name="Percent 6 3 4" xfId="2915" xr:uid="{00000000-0005-0000-0000-00006C0B0000}"/>
    <cellStyle name="Percent 6 4" xfId="2916" xr:uid="{00000000-0005-0000-0000-00006D0B0000}"/>
    <cellStyle name="Percent 6 4 2" xfId="2917" xr:uid="{00000000-0005-0000-0000-00006E0B0000}"/>
    <cellStyle name="Percent 6 5" xfId="2918" xr:uid="{00000000-0005-0000-0000-00006F0B0000}"/>
    <cellStyle name="Percent 6 5 2" xfId="2919" xr:uid="{00000000-0005-0000-0000-0000700B0000}"/>
    <cellStyle name="Percent 6 6" xfId="2920" xr:uid="{00000000-0005-0000-0000-0000710B0000}"/>
    <cellStyle name="Percent 6 6 2" xfId="2921" xr:uid="{00000000-0005-0000-0000-0000720B0000}"/>
    <cellStyle name="Percent 6 7" xfId="2922" xr:uid="{00000000-0005-0000-0000-0000730B0000}"/>
    <cellStyle name="Percent 7" xfId="2923" xr:uid="{00000000-0005-0000-0000-0000740B0000}"/>
    <cellStyle name="Percent 7 2" xfId="2924" xr:uid="{00000000-0005-0000-0000-0000750B0000}"/>
    <cellStyle name="Percent 7 2 2" xfId="2925" xr:uid="{00000000-0005-0000-0000-0000760B0000}"/>
    <cellStyle name="Percent 7 2 2 2" xfId="2926" xr:uid="{00000000-0005-0000-0000-0000770B0000}"/>
    <cellStyle name="Percent 7 2 2 2 2" xfId="2927" xr:uid="{00000000-0005-0000-0000-0000780B0000}"/>
    <cellStyle name="Percent 7 2 2 3" xfId="2928" xr:uid="{00000000-0005-0000-0000-0000790B0000}"/>
    <cellStyle name="Percent 7 2 2 4" xfId="2929" xr:uid="{00000000-0005-0000-0000-00007A0B0000}"/>
    <cellStyle name="Percent 7 2 3" xfId="2930" xr:uid="{00000000-0005-0000-0000-00007B0B0000}"/>
    <cellStyle name="Percent 7 2 3 2" xfId="2931" xr:uid="{00000000-0005-0000-0000-00007C0B0000}"/>
    <cellStyle name="Percent 7 2 4" xfId="2932" xr:uid="{00000000-0005-0000-0000-00007D0B0000}"/>
    <cellStyle name="Percent 7 2 5" xfId="2933" xr:uid="{00000000-0005-0000-0000-00007E0B0000}"/>
    <cellStyle name="Percent 7 3" xfId="2934" xr:uid="{00000000-0005-0000-0000-00007F0B0000}"/>
    <cellStyle name="Percent 7 3 2" xfId="2935" xr:uid="{00000000-0005-0000-0000-0000800B0000}"/>
    <cellStyle name="Percent 7 3 2 2" xfId="2936" xr:uid="{00000000-0005-0000-0000-0000810B0000}"/>
    <cellStyle name="Percent 7 3 3" xfId="2937" xr:uid="{00000000-0005-0000-0000-0000820B0000}"/>
    <cellStyle name="Percent 7 3 4" xfId="2938" xr:uid="{00000000-0005-0000-0000-0000830B0000}"/>
    <cellStyle name="Percent 7 4" xfId="2939" xr:uid="{00000000-0005-0000-0000-0000840B0000}"/>
    <cellStyle name="Percent 7 4 2" xfId="2940" xr:uid="{00000000-0005-0000-0000-0000850B0000}"/>
    <cellStyle name="Percent 7 5" xfId="2941" xr:uid="{00000000-0005-0000-0000-0000860B0000}"/>
    <cellStyle name="Percent 7 5 2" xfId="2942" xr:uid="{00000000-0005-0000-0000-0000870B0000}"/>
    <cellStyle name="Percent 7 6" xfId="2943" xr:uid="{00000000-0005-0000-0000-0000880B0000}"/>
    <cellStyle name="Percent 7 6 2" xfId="2944" xr:uid="{00000000-0005-0000-0000-0000890B0000}"/>
    <cellStyle name="Percent 7 7" xfId="2945" xr:uid="{00000000-0005-0000-0000-00008A0B0000}"/>
    <cellStyle name="Percent 8" xfId="2946" xr:uid="{00000000-0005-0000-0000-00008B0B0000}"/>
    <cellStyle name="Percent 8 2" xfId="2947" xr:uid="{00000000-0005-0000-0000-00008C0B0000}"/>
    <cellStyle name="Percent 8 2 2" xfId="2948" xr:uid="{00000000-0005-0000-0000-00008D0B0000}"/>
    <cellStyle name="Percent 8 2 2 2" xfId="2949" xr:uid="{00000000-0005-0000-0000-00008E0B0000}"/>
    <cellStyle name="Percent 8 2 2 2 2" xfId="2950" xr:uid="{00000000-0005-0000-0000-00008F0B0000}"/>
    <cellStyle name="Percent 8 2 2 3" xfId="2951" xr:uid="{00000000-0005-0000-0000-0000900B0000}"/>
    <cellStyle name="Percent 8 2 2 4" xfId="2952" xr:uid="{00000000-0005-0000-0000-0000910B0000}"/>
    <cellStyle name="Percent 8 2 3" xfId="2953" xr:uid="{00000000-0005-0000-0000-0000920B0000}"/>
    <cellStyle name="Percent 8 2 3 2" xfId="2954" xr:uid="{00000000-0005-0000-0000-0000930B0000}"/>
    <cellStyle name="Percent 8 2 4" xfId="2955" xr:uid="{00000000-0005-0000-0000-0000940B0000}"/>
    <cellStyle name="Percent 8 2 5" xfId="2956" xr:uid="{00000000-0005-0000-0000-0000950B0000}"/>
    <cellStyle name="Percent 8 3" xfId="2957" xr:uid="{00000000-0005-0000-0000-0000960B0000}"/>
    <cellStyle name="Percent 8 3 2" xfId="2958" xr:uid="{00000000-0005-0000-0000-0000970B0000}"/>
    <cellStyle name="Percent 8 3 2 2" xfId="2959" xr:uid="{00000000-0005-0000-0000-0000980B0000}"/>
    <cellStyle name="Percent 8 3 3" xfId="2960" xr:uid="{00000000-0005-0000-0000-0000990B0000}"/>
    <cellStyle name="Percent 8 3 4" xfId="2961" xr:uid="{00000000-0005-0000-0000-00009A0B0000}"/>
    <cellStyle name="Percent 8 4" xfId="2962" xr:uid="{00000000-0005-0000-0000-00009B0B0000}"/>
    <cellStyle name="Percent 8 4 2" xfId="2963" xr:uid="{00000000-0005-0000-0000-00009C0B0000}"/>
    <cellStyle name="Percent 8 5" xfId="2964" xr:uid="{00000000-0005-0000-0000-00009D0B0000}"/>
    <cellStyle name="Percent 8 6" xfId="2965" xr:uid="{00000000-0005-0000-0000-00009E0B0000}"/>
    <cellStyle name="Percent 9" xfId="2966" xr:uid="{00000000-0005-0000-0000-00009F0B0000}"/>
    <cellStyle name="Percent 9 2" xfId="2967" xr:uid="{00000000-0005-0000-0000-0000A00B0000}"/>
    <cellStyle name="Percent 9 2 2" xfId="2968" xr:uid="{00000000-0005-0000-0000-0000A10B0000}"/>
    <cellStyle name="Percent 9 3" xfId="2969" xr:uid="{00000000-0005-0000-0000-0000A20B0000}"/>
    <cellStyle name="Percent 9 4" xfId="2970" xr:uid="{00000000-0005-0000-0000-0000A30B0000}"/>
    <cellStyle name="Title 2" xfId="2971" xr:uid="{00000000-0005-0000-0000-0000A40B0000}"/>
    <cellStyle name="Title 3" xfId="2972" xr:uid="{00000000-0005-0000-0000-0000A50B0000}"/>
    <cellStyle name="Total 2" xfId="2973" xr:uid="{00000000-0005-0000-0000-0000A60B0000}"/>
    <cellStyle name="Total 3" xfId="2974" xr:uid="{00000000-0005-0000-0000-0000A70B0000}"/>
    <cellStyle name="Warning Text 2" xfId="2975" xr:uid="{00000000-0005-0000-0000-0000A80B0000}"/>
    <cellStyle name="Warning Text 3" xfId="2976" xr:uid="{00000000-0005-0000-0000-0000A90B0000}"/>
  </cellStyles>
  <dxfs count="0"/>
  <tableStyles count="0" defaultTableStyle="TableStyleMedium2" defaultPivotStyle="PivotStyleLight16"/>
  <colors>
    <mruColors>
      <color rgb="FF351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brightRoom" dir="t"/>
            </a:scene3d>
            <a:sp3d prstMaterial="flat">
              <a:bevelT w="50800" h="101600" prst="angle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910-43CD-B1E5-37F0C9573E22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910-43CD-B1E5-37F0C9573E22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910-43CD-B1E5-37F0C9573E22}"/>
              </c:ext>
            </c:extLst>
          </c:dPt>
          <c:dLbls>
            <c:dLbl>
              <c:idx val="0"/>
              <c:layout>
                <c:manualLayout>
                  <c:x val="0.174999999999999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10-43CD-B1E5-37F0C9573E22}"/>
                </c:ext>
              </c:extLst>
            </c:dLbl>
            <c:dLbl>
              <c:idx val="1"/>
              <c:layout>
                <c:manualLayout>
                  <c:x val="-0.16944444444444451"/>
                  <c:y val="2.7777777777777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0-43CD-B1E5-37F0C9573E22}"/>
                </c:ext>
              </c:extLst>
            </c:dLbl>
            <c:dLbl>
              <c:idx val="2"/>
              <c:layout>
                <c:manualLayout>
                  <c:x val="-0.14722222222222225"/>
                  <c:y val="-5.0925925925925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10-43CD-B1E5-37F0C9573E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'App 2 - Totals'!$O$7:$Q$7</c:f>
              <c:strCache>
                <c:ptCount val="3"/>
                <c:pt idx="0">
                  <c:v>Residual</c:v>
                </c:pt>
                <c:pt idx="1">
                  <c:v>Recycling</c:v>
                </c:pt>
                <c:pt idx="2">
                  <c:v>Organics</c:v>
                </c:pt>
              </c:strCache>
            </c:strRef>
          </c:cat>
          <c:val>
            <c:numRef>
              <c:f>'App 2 - Totals'!$O$8:$Q$8</c:f>
              <c:numCache>
                <c:formatCode>_-* #,##0_-;\-* #,##0_-;_-* "-"??_-;_-@_-</c:formatCode>
                <c:ptCount val="3"/>
                <c:pt idx="0">
                  <c:v>2218227.67</c:v>
                </c:pt>
                <c:pt idx="1">
                  <c:v>794381.61800000013</c:v>
                </c:pt>
                <c:pt idx="2">
                  <c:v>843621.95000000007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10-43CD-B1E5-37F0C9573E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Kerbside Dry Recycling Bin kk/hh/week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569792412312098"/>
          <c:y val="0.11572140121315733"/>
          <c:w val="0.7656721997960878"/>
          <c:h val="0.729660662885147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'App 8 - Bin Size'!$AQ$8</c:f>
              <c:strCache>
                <c:ptCount val="1"/>
                <c:pt idx="0">
                  <c:v> kg/hh/wk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'App 8 - Bin Size'!$AO$9:$AP$20</c15:sqref>
                  </c15:fullRef>
                </c:ext>
              </c:extLst>
              <c:f>('App 8 - Bin Size'!$AO$9:$AP$12,'App 8 - Bin Size'!$AO$14:$AP$17,'App 8 - Bin Size'!$AO$19:$AP$19)</c:f>
              <c:multiLvlStrCache>
                <c:ptCount val="9"/>
                <c:lvl>
                  <c:pt idx="0">
                    <c:v> Weekly </c:v>
                  </c:pt>
                  <c:pt idx="1">
                    <c:v> Weekly </c:v>
                  </c:pt>
                  <c:pt idx="2">
                    <c:v> Weekly </c:v>
                  </c:pt>
                  <c:pt idx="3">
                    <c:v> Weekly </c:v>
                  </c:pt>
                  <c:pt idx="4">
                    <c:v> Weekly </c:v>
                  </c:pt>
                  <c:pt idx="5">
                    <c:v> Fortnightly </c:v>
                  </c:pt>
                  <c:pt idx="6">
                    <c:v> Fortnightly </c:v>
                  </c:pt>
                  <c:pt idx="7">
                    <c:v> Fortnightly </c:v>
                  </c:pt>
                  <c:pt idx="8">
                    <c:v> Fortnightly </c:v>
                  </c:pt>
                </c:lvl>
                <c:lvl>
                  <c:pt idx="0">
                    <c:v> 120L </c:v>
                  </c:pt>
                  <c:pt idx="1">
                    <c:v> 140L </c:v>
                  </c:pt>
                  <c:pt idx="2">
                    <c:v> 240L </c:v>
                  </c:pt>
                  <c:pt idx="3">
                    <c:v> 240L Split (W/R) </c:v>
                  </c:pt>
                  <c:pt idx="4">
                    <c:v> 55L </c:v>
                  </c:pt>
                  <c:pt idx="5">
                    <c:v> 120L </c:v>
                  </c:pt>
                  <c:pt idx="6">
                    <c:v> 140L </c:v>
                  </c:pt>
                  <c:pt idx="7">
                    <c:v> 240L </c:v>
                  </c:pt>
                  <c:pt idx="8">
                    <c:v> 360L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 8 - Bin Size'!$AQ$9:$AQ$20</c15:sqref>
                  </c15:fullRef>
                </c:ext>
              </c:extLst>
              <c:f>('App 8 - Bin Size'!$AQ$9:$AQ$12,'App 8 - Bin Size'!$AQ$14:$AQ$17,'App 8 - Bin Size'!$AQ$19)</c:f>
              <c:numCache>
                <c:formatCode>_(* #,##0.00_);_(* \(#,##0.00\);_(* "-"??_);_(@_)</c:formatCode>
                <c:ptCount val="9"/>
                <c:pt idx="0">
                  <c:v>1.8367298578199052</c:v>
                </c:pt>
                <c:pt idx="1">
                  <c:v>9.697953759258187</c:v>
                </c:pt>
                <c:pt idx="2">
                  <c:v>8.1214379962259091</c:v>
                </c:pt>
                <c:pt idx="3">
                  <c:v>0</c:v>
                </c:pt>
                <c:pt idx="4">
                  <c:v>0</c:v>
                </c:pt>
                <c:pt idx="5">
                  <c:v>2.7463996629732792</c:v>
                </c:pt>
                <c:pt idx="6">
                  <c:v>2.3858188000229221</c:v>
                </c:pt>
                <c:pt idx="7">
                  <c:v>3.2676450886202391</c:v>
                </c:pt>
                <c:pt idx="8">
                  <c:v>3.3718442854800483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13E-91D9-DA601DC091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27"/>
        <c:axId val="355191112"/>
        <c:axId val="355191504"/>
      </c:barChart>
      <c:catAx>
        <c:axId val="355191112"/>
        <c:scaling>
          <c:orientation val="minMax"/>
        </c:scaling>
        <c:delete val="0"/>
        <c:axPos val="b"/>
        <c:numFmt formatCode="_-* #,##0.0_-;\-* #,##0.0_-;_-* &quot;-&quot;??_-;_-@_-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19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19150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Average Collection (kg/hh/wk)</a:t>
                </a:r>
              </a:p>
            </c:rich>
          </c:tx>
          <c:layout>
            <c:manualLayout>
              <c:xMode val="edge"/>
              <c:yMode val="edge"/>
              <c:x val="5.02310333737927E-2"/>
              <c:y val="0.307558507169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191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Organics</a:t>
            </a:r>
            <a:r>
              <a:rPr lang="en-AU" baseline="0"/>
              <a:t> and FOGO servivces kg/hh/wk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'App 8 - Bin Size'!$AT$94</c:f>
              <c:strCache>
                <c:ptCount val="1"/>
                <c:pt idx="0">
                  <c:v>kg/hh/wk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'App 8 - Bin Size'!$AR$95:$AS$102</c15:sqref>
                  </c15:fullRef>
                </c:ext>
              </c:extLst>
              <c:f>'App 8 - Bin Size'!$AR$95:$AS$100</c:f>
              <c:multiLvlStrCache>
                <c:ptCount val="6"/>
                <c:lvl>
                  <c:pt idx="0">
                    <c:v>Weekly</c:v>
                  </c:pt>
                  <c:pt idx="1">
                    <c:v>Fortnightly</c:v>
                  </c:pt>
                  <c:pt idx="2">
                    <c:v>Fortnightly</c:v>
                  </c:pt>
                  <c:pt idx="3">
                    <c:v>Weekly</c:v>
                  </c:pt>
                  <c:pt idx="4">
                    <c:v>Fortnightly</c:v>
                  </c:pt>
                  <c:pt idx="5">
                    <c:v>Monthly</c:v>
                  </c:pt>
                </c:lvl>
                <c:lvl>
                  <c:pt idx="0">
                    <c:v>FOGO 240L</c:v>
                  </c:pt>
                  <c:pt idx="1">
                    <c:v>FOGO 240L</c:v>
                  </c:pt>
                  <c:pt idx="2">
                    <c:v>360L GO</c:v>
                  </c:pt>
                  <c:pt idx="3">
                    <c:v>240L GO</c:v>
                  </c:pt>
                  <c:pt idx="4">
                    <c:v>240L GO</c:v>
                  </c:pt>
                  <c:pt idx="5">
                    <c:v>240L GO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 8 - Bin Size'!$AT$95:$AT$102</c15:sqref>
                  </c15:fullRef>
                </c:ext>
              </c:extLst>
              <c:f>'App 8 - Bin Size'!$AT$95:$AT$100</c:f>
              <c:numCache>
                <c:formatCode>0</c:formatCode>
                <c:ptCount val="6"/>
                <c:pt idx="0">
                  <c:v>6.6042242864400444</c:v>
                </c:pt>
                <c:pt idx="1">
                  <c:v>5.6582779388807261</c:v>
                </c:pt>
                <c:pt idx="2">
                  <c:v>0</c:v>
                </c:pt>
                <c:pt idx="3">
                  <c:v>6.9804176356043994</c:v>
                </c:pt>
                <c:pt idx="4">
                  <c:v>5.0015348446519994</c:v>
                </c:pt>
                <c:pt idx="5">
                  <c:v>4.4375116275214497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9-4E86-BB53-FA110DB223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8108224"/>
        <c:axId val="618108552"/>
      </c:barChart>
      <c:catAx>
        <c:axId val="6181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108552"/>
        <c:crosses val="autoZero"/>
        <c:auto val="1"/>
        <c:lblAlgn val="ctr"/>
        <c:lblOffset val="100"/>
        <c:noMultiLvlLbl val="0"/>
      </c:catAx>
      <c:valAx>
        <c:axId val="61810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Kg/hh/week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108224"/>
        <c:crosses val="autoZero"/>
        <c:crossBetween val="between"/>
        <c:majorUnit val="2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Residual Kerbside</a:t>
            </a:r>
            <a:r>
              <a:rPr lang="en-US" baseline="0"/>
              <a:t> Waste </a:t>
            </a:r>
            <a:r>
              <a:rPr lang="en-US"/>
              <a:t>kg/hh/week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'App 8 - Bin Size'!$AQ$29</c:f>
              <c:strCache>
                <c:ptCount val="1"/>
                <c:pt idx="0">
                  <c:v> kg/hh/wk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'App 8 - Bin Size'!$AO$30:$AP$42</c15:sqref>
                  </c15:fullRef>
                </c:ext>
              </c:extLst>
              <c:f>('App 8 - Bin Size'!$AO$30:$AP$35,'App 8 - Bin Size'!$AO$37:$AP$39,'App 8 - Bin Size'!$AO$42:$AP$42)</c:f>
              <c:multiLvlStrCache>
                <c:ptCount val="10"/>
                <c:lvl>
                  <c:pt idx="0">
                    <c:v> Weekly </c:v>
                  </c:pt>
                  <c:pt idx="1">
                    <c:v> Weekly </c:v>
                  </c:pt>
                  <c:pt idx="2">
                    <c:v> Weekly </c:v>
                  </c:pt>
                  <c:pt idx="3">
                    <c:v> Weekly </c:v>
                  </c:pt>
                  <c:pt idx="4">
                    <c:v> Weekly </c:v>
                  </c:pt>
                  <c:pt idx="5">
                    <c:v> Weekly </c:v>
                  </c:pt>
                  <c:pt idx="6">
                    <c:v> Fortnightly </c:v>
                  </c:pt>
                  <c:pt idx="7">
                    <c:v> Fortnightly </c:v>
                  </c:pt>
                  <c:pt idx="8">
                    <c:v> Fortnightly </c:v>
                  </c:pt>
                  <c:pt idx="9">
                    <c:v> Fortnightly </c:v>
                  </c:pt>
                </c:lvl>
                <c:lvl>
                  <c:pt idx="0">
                    <c:v> 120L </c:v>
                  </c:pt>
                  <c:pt idx="1">
                    <c:v> 140L </c:v>
                  </c:pt>
                  <c:pt idx="2">
                    <c:v> 240L </c:v>
                  </c:pt>
                  <c:pt idx="3">
                    <c:v> 240L Split (W/R) </c:v>
                  </c:pt>
                  <c:pt idx="4">
                    <c:v> 55L </c:v>
                  </c:pt>
                  <c:pt idx="5">
                    <c:v> 80L </c:v>
                  </c:pt>
                  <c:pt idx="6">
                    <c:v> 120L </c:v>
                  </c:pt>
                  <c:pt idx="7">
                    <c:v> 140L </c:v>
                  </c:pt>
                  <c:pt idx="8">
                    <c:v> 240L </c:v>
                  </c:pt>
                  <c:pt idx="9">
                    <c:v> 660L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 8 - Bin Size'!$AQ$30:$AQ$42</c15:sqref>
                  </c15:fullRef>
                </c:ext>
              </c:extLst>
              <c:f>('App 8 - Bin Size'!$AQ$30:$AQ$35,'App 8 - Bin Size'!$AQ$37:$AQ$39,'App 8 - Bin Size'!$AQ$42)</c:f>
              <c:numCache>
                <c:formatCode>_-* #,##0.0_-;\-* #,##0.0_-;_-* "-"??_-;_-@_-</c:formatCode>
                <c:ptCount val="10"/>
                <c:pt idx="0">
                  <c:v>11.925181711002875</c:v>
                </c:pt>
                <c:pt idx="1">
                  <c:v>10.85000323524892</c:v>
                </c:pt>
                <c:pt idx="2">
                  <c:v>18.981300739148256</c:v>
                </c:pt>
                <c:pt idx="3">
                  <c:v>0</c:v>
                </c:pt>
                <c:pt idx="4">
                  <c:v>0</c:v>
                </c:pt>
                <c:pt idx="5">
                  <c:v>17.929410945214396</c:v>
                </c:pt>
                <c:pt idx="6">
                  <c:v>0</c:v>
                </c:pt>
                <c:pt idx="7">
                  <c:v>8.2069292900013302</c:v>
                </c:pt>
                <c:pt idx="8">
                  <c:v>8.4378876298570624</c:v>
                </c:pt>
                <c:pt idx="9">
                  <c:v>8.5883297866376118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2-497E-95F4-2F8287CD2D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2933408"/>
        <c:axId val="712936032"/>
      </c:barChart>
      <c:catAx>
        <c:axId val="71293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36032"/>
        <c:crosses val="autoZero"/>
        <c:auto val="1"/>
        <c:lblAlgn val="ctr"/>
        <c:lblOffset val="100"/>
        <c:noMultiLvlLbl val="0"/>
      </c:catAx>
      <c:valAx>
        <c:axId val="71293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Kerbside FOGO kg/hh/week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'App 8 - Bin Size'!$AO$75:$AP$76</c:f>
              <c:multiLvlStrCache>
                <c:ptCount val="2"/>
                <c:lvl>
                  <c:pt idx="0">
                    <c:v> Weekly </c:v>
                  </c:pt>
                  <c:pt idx="1">
                    <c:v> Fortnightly </c:v>
                  </c:pt>
                </c:lvl>
                <c:lvl>
                  <c:pt idx="0">
                    <c:v> 240L </c:v>
                  </c:pt>
                  <c:pt idx="1">
                    <c:v> 240L </c:v>
                  </c:pt>
                </c:lvl>
              </c:multiLvlStrCache>
            </c:multiLvlStrRef>
          </c:cat>
          <c:val>
            <c:numRef>
              <c:f>'App 8 - Bin Size'!$AQ$75:$AQ$76</c:f>
              <c:numCache>
                <c:formatCode>_(* #,##0.00_);_(* \(#,##0.00\);_(* "-"??_);_(@_)</c:formatCode>
                <c:ptCount val="2"/>
                <c:pt idx="0">
                  <c:v>6.6042242864400444</c:v>
                </c:pt>
                <c:pt idx="1">
                  <c:v>5.6582779388807261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0-46ED-A640-EC6BB83941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2933408"/>
        <c:axId val="712936032"/>
      </c:barChart>
      <c:catAx>
        <c:axId val="71293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36032"/>
        <c:crosses val="autoZero"/>
        <c:auto val="1"/>
        <c:lblAlgn val="ctr"/>
        <c:lblOffset val="100"/>
        <c:noMultiLvlLbl val="0"/>
      </c:catAx>
      <c:valAx>
        <c:axId val="71293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Kerbside Garden organics</a:t>
            </a:r>
            <a:r>
              <a:rPr lang="en-US"/>
              <a:t> kg/hh/wk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'App 8 - Bin Size'!$AQ$51:$AQ$52</c:f>
              <c:strCache>
                <c:ptCount val="2"/>
                <c:pt idx="0">
                  <c:v> kg/hh/wk </c:v>
                </c:pt>
                <c:pt idx="1">
                  <c:v> -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'App 8 - Bin Size'!$AO$53:$AP$55</c:f>
              <c:multiLvlStrCache>
                <c:ptCount val="3"/>
                <c:lvl>
                  <c:pt idx="0">
                    <c:v> Weekly </c:v>
                  </c:pt>
                  <c:pt idx="1">
                    <c:v> Fortnightly </c:v>
                  </c:pt>
                  <c:pt idx="2">
                    <c:v> Monthly </c:v>
                  </c:pt>
                </c:lvl>
                <c:lvl>
                  <c:pt idx="0">
                    <c:v> 240L </c:v>
                  </c:pt>
                  <c:pt idx="1">
                    <c:v> 240L </c:v>
                  </c:pt>
                  <c:pt idx="2">
                    <c:v> 240L </c:v>
                  </c:pt>
                </c:lvl>
              </c:multiLvlStrCache>
            </c:multiLvlStrRef>
          </c:cat>
          <c:val>
            <c:numRef>
              <c:f>'App 8 - Bin Size'!$AQ$53:$AQ$55</c:f>
              <c:numCache>
                <c:formatCode>_(* #,##0.00_);_(* \(#,##0.00\);_(* "-"??_);_(@_)</c:formatCode>
                <c:ptCount val="3"/>
                <c:pt idx="0">
                  <c:v>6.9804176356043994</c:v>
                </c:pt>
                <c:pt idx="1">
                  <c:v>5.0015348446519994</c:v>
                </c:pt>
                <c:pt idx="2">
                  <c:v>4.4375116275214497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9-44E4-91ED-16DF161F6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5469999"/>
        <c:axId val="1235466639"/>
      </c:barChart>
      <c:catAx>
        <c:axId val="123546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466639"/>
        <c:crosses val="autoZero"/>
        <c:auto val="1"/>
        <c:lblAlgn val="ctr"/>
        <c:lblOffset val="100"/>
        <c:noMultiLvlLbl val="0"/>
      </c:catAx>
      <c:valAx>
        <c:axId val="1235466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46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www.abs.gov.au/icons/ecblank.gif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79</xdr:row>
      <xdr:rowOff>0</xdr:rowOff>
    </xdr:from>
    <xdr:to>
      <xdr:col>5</xdr:col>
      <xdr:colOff>9525</xdr:colOff>
      <xdr:row>79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0480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79</xdr:row>
      <xdr:rowOff>0</xdr:rowOff>
    </xdr:from>
    <xdr:to>
      <xdr:col>5</xdr:col>
      <xdr:colOff>9525</xdr:colOff>
      <xdr:row>79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048000" y="1263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95</xdr:row>
      <xdr:rowOff>0</xdr:rowOff>
    </xdr:from>
    <xdr:to>
      <xdr:col>5</xdr:col>
      <xdr:colOff>9525</xdr:colOff>
      <xdr:row>95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048000" y="15220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95</xdr:row>
      <xdr:rowOff>0</xdr:rowOff>
    </xdr:from>
    <xdr:to>
      <xdr:col>5</xdr:col>
      <xdr:colOff>9525</xdr:colOff>
      <xdr:row>95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048000" y="15220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522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522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522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522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6" name="Picture 15" descr="http://www.abs.gov.au/icons/ecblank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7" name="Picture 16" descr="http://www.abs.gov.au/icons/ecblank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522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522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657600" y="12630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42" name="Picture 41" descr="http://www.abs.gov.au/icons/ecblank.gif">
          <a:extLst>
            <a:ext uri="{FF2B5EF4-FFF2-40B4-BE49-F238E27FC236}">
              <a16:creationId xmlns:a16="http://schemas.microsoft.com/office/drawing/2014/main" id="{88C9C84D-EB61-45C6-9D87-D618F450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43" name="Picture 42" descr="http://www.abs.gov.au/icons/ecblank.gif">
          <a:extLst>
            <a:ext uri="{FF2B5EF4-FFF2-40B4-BE49-F238E27FC236}">
              <a16:creationId xmlns:a16="http://schemas.microsoft.com/office/drawing/2014/main" id="{E77872E6-6B38-498A-AB3C-A13AD3AB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44" name="Picture 43" descr="http://www.abs.gov.au/icons/ecblank.gif">
          <a:extLst>
            <a:ext uri="{FF2B5EF4-FFF2-40B4-BE49-F238E27FC236}">
              <a16:creationId xmlns:a16="http://schemas.microsoft.com/office/drawing/2014/main" id="{C9587145-345B-4141-A2FB-D5DDAB63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9069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45" name="Picture 44" descr="http://www.abs.gov.au/icons/ecblank.gif">
          <a:extLst>
            <a:ext uri="{FF2B5EF4-FFF2-40B4-BE49-F238E27FC236}">
              <a16:creationId xmlns:a16="http://schemas.microsoft.com/office/drawing/2014/main" id="{3EE14698-CBCE-43E5-8256-68CF8EA1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9069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46" name="Picture 45" descr="http://www.abs.gov.au/icons/ecblank.gif">
          <a:extLst>
            <a:ext uri="{FF2B5EF4-FFF2-40B4-BE49-F238E27FC236}">
              <a16:creationId xmlns:a16="http://schemas.microsoft.com/office/drawing/2014/main" id="{64E0F08E-37D8-4B37-9435-5767B5A60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47" name="Picture 46" descr="http://www.abs.gov.au/icons/ecblank.gif">
          <a:extLst>
            <a:ext uri="{FF2B5EF4-FFF2-40B4-BE49-F238E27FC236}">
              <a16:creationId xmlns:a16="http://schemas.microsoft.com/office/drawing/2014/main" id="{7540AD0D-0370-4760-A071-4D51EDEB0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48" name="Picture 47" descr="http://www.abs.gov.au/icons/ecblank.gif">
          <a:extLst>
            <a:ext uri="{FF2B5EF4-FFF2-40B4-BE49-F238E27FC236}">
              <a16:creationId xmlns:a16="http://schemas.microsoft.com/office/drawing/2014/main" id="{41ED588C-F78A-44DB-9846-BB613A3E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9069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49" name="Picture 48" descr="http://www.abs.gov.au/icons/ecblank.gif">
          <a:extLst>
            <a:ext uri="{FF2B5EF4-FFF2-40B4-BE49-F238E27FC236}">
              <a16:creationId xmlns:a16="http://schemas.microsoft.com/office/drawing/2014/main" id="{61E58DE9-7847-44B3-9C5F-349D9AFF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9069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9525</xdr:rowOff>
    </xdr:to>
    <xdr:pic>
      <xdr:nvPicPr>
        <xdr:cNvPr id="50" name="Picture 49" descr="http://www.abs.gov.au/icons/ecblank.gif">
          <a:extLst>
            <a:ext uri="{FF2B5EF4-FFF2-40B4-BE49-F238E27FC236}">
              <a16:creationId xmlns:a16="http://schemas.microsoft.com/office/drawing/2014/main" id="{3760D999-1096-40C2-8E04-5C26992A2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9525</xdr:rowOff>
    </xdr:to>
    <xdr:pic>
      <xdr:nvPicPr>
        <xdr:cNvPr id="51" name="Picture 50" descr="http://www.abs.gov.au/icons/ecblank.gif">
          <a:extLst>
            <a:ext uri="{FF2B5EF4-FFF2-40B4-BE49-F238E27FC236}">
              <a16:creationId xmlns:a16="http://schemas.microsoft.com/office/drawing/2014/main" id="{41157A18-16E5-4F75-8E6F-BDA5ECBE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9525</xdr:rowOff>
    </xdr:to>
    <xdr:pic>
      <xdr:nvPicPr>
        <xdr:cNvPr id="52" name="Picture 51" descr="http://www.abs.gov.au/icons/ecblank.gif">
          <a:extLst>
            <a:ext uri="{FF2B5EF4-FFF2-40B4-BE49-F238E27FC236}">
              <a16:creationId xmlns:a16="http://schemas.microsoft.com/office/drawing/2014/main" id="{163DBAB4-ED1D-4458-B98D-785DE959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9525</xdr:rowOff>
    </xdr:to>
    <xdr:pic>
      <xdr:nvPicPr>
        <xdr:cNvPr id="53" name="Picture 52" descr="http://www.abs.gov.au/icons/ecblank.gif">
          <a:extLst>
            <a:ext uri="{FF2B5EF4-FFF2-40B4-BE49-F238E27FC236}">
              <a16:creationId xmlns:a16="http://schemas.microsoft.com/office/drawing/2014/main" id="{0E5802E5-1E60-4562-8945-715704EB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54" name="Picture 108" descr="http://www.abs.gov.au/icons/ecblank.gif">
          <a:extLst>
            <a:ext uri="{FF2B5EF4-FFF2-40B4-BE49-F238E27FC236}">
              <a16:creationId xmlns:a16="http://schemas.microsoft.com/office/drawing/2014/main" id="{375CD124-7406-4467-BC81-1F9D32BB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55" name="Picture 109" descr="http://www.abs.gov.au/icons/ecblank.gif">
          <a:extLst>
            <a:ext uri="{FF2B5EF4-FFF2-40B4-BE49-F238E27FC236}">
              <a16:creationId xmlns:a16="http://schemas.microsoft.com/office/drawing/2014/main" id="{E48FA646-3E90-4DFB-84CF-48027A7F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56" name="Picture 110" descr="http://www.abs.gov.au/icons/ecblank.gif">
          <a:extLst>
            <a:ext uri="{FF2B5EF4-FFF2-40B4-BE49-F238E27FC236}">
              <a16:creationId xmlns:a16="http://schemas.microsoft.com/office/drawing/2014/main" id="{0FC241B8-3563-48E5-A013-C580D2EC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9069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57" name="Picture 111" descr="http://www.abs.gov.au/icons/ecblank.gif">
          <a:extLst>
            <a:ext uri="{FF2B5EF4-FFF2-40B4-BE49-F238E27FC236}">
              <a16:creationId xmlns:a16="http://schemas.microsoft.com/office/drawing/2014/main" id="{4DB36DD9-2194-4D7B-82BD-0C89EF089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9069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58" name="Picture 57" descr="http://www.abs.gov.au/icons/ecblank.gif">
          <a:extLst>
            <a:ext uri="{FF2B5EF4-FFF2-40B4-BE49-F238E27FC236}">
              <a16:creationId xmlns:a16="http://schemas.microsoft.com/office/drawing/2014/main" id="{CCC014B4-A9A7-4F06-A356-D8523CA5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59" name="Picture 58" descr="http://www.abs.gov.au/icons/ecblank.gif">
          <a:extLst>
            <a:ext uri="{FF2B5EF4-FFF2-40B4-BE49-F238E27FC236}">
              <a16:creationId xmlns:a16="http://schemas.microsoft.com/office/drawing/2014/main" id="{1FF4F64C-C188-44B3-AD38-B624FC86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60" name="Picture 59" descr="http://www.abs.gov.au/icons/ecblank.gif">
          <a:extLst>
            <a:ext uri="{FF2B5EF4-FFF2-40B4-BE49-F238E27FC236}">
              <a16:creationId xmlns:a16="http://schemas.microsoft.com/office/drawing/2014/main" id="{52C600CE-1024-4A79-AB7C-38EE9FBC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61" name="Picture 60" descr="http://www.abs.gov.au/icons/ecblank.gif">
          <a:extLst>
            <a:ext uri="{FF2B5EF4-FFF2-40B4-BE49-F238E27FC236}">
              <a16:creationId xmlns:a16="http://schemas.microsoft.com/office/drawing/2014/main" id="{4BD0965F-F810-4631-8F4E-D42A2042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62" name="Picture 61" descr="http://www.abs.gov.au/icons/ecblank.gif">
          <a:extLst>
            <a:ext uri="{FF2B5EF4-FFF2-40B4-BE49-F238E27FC236}">
              <a16:creationId xmlns:a16="http://schemas.microsoft.com/office/drawing/2014/main" id="{61931CE5-5E0A-48A5-A622-999AF9C1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63" name="Picture 62" descr="http://www.abs.gov.au/icons/ecblank.gif">
          <a:extLst>
            <a:ext uri="{FF2B5EF4-FFF2-40B4-BE49-F238E27FC236}">
              <a16:creationId xmlns:a16="http://schemas.microsoft.com/office/drawing/2014/main" id="{B7127496-7FA0-4546-93C8-383D3A2B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64" name="Picture 63" descr="http://www.abs.gov.au/icons/ecblank.gif">
          <a:extLst>
            <a:ext uri="{FF2B5EF4-FFF2-40B4-BE49-F238E27FC236}">
              <a16:creationId xmlns:a16="http://schemas.microsoft.com/office/drawing/2014/main" id="{3CEE7CE9-BB96-4587-8C06-AA4D0927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65" name="Picture 64" descr="http://www.abs.gov.au/icons/ecblank.gif">
          <a:extLst>
            <a:ext uri="{FF2B5EF4-FFF2-40B4-BE49-F238E27FC236}">
              <a16:creationId xmlns:a16="http://schemas.microsoft.com/office/drawing/2014/main" id="{69FB9B7B-8520-4E74-AD39-8EA150A7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9525</xdr:rowOff>
    </xdr:to>
    <xdr:pic>
      <xdr:nvPicPr>
        <xdr:cNvPr id="66" name="Picture 65" descr="http://www.abs.gov.au/icons/ecblank.gif">
          <a:extLst>
            <a:ext uri="{FF2B5EF4-FFF2-40B4-BE49-F238E27FC236}">
              <a16:creationId xmlns:a16="http://schemas.microsoft.com/office/drawing/2014/main" id="{05A1C5E9-614A-4AB7-86E2-56AC854C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9525</xdr:rowOff>
    </xdr:to>
    <xdr:pic>
      <xdr:nvPicPr>
        <xdr:cNvPr id="67" name="Picture 66" descr="http://www.abs.gov.au/icons/ecblank.gif">
          <a:extLst>
            <a:ext uri="{FF2B5EF4-FFF2-40B4-BE49-F238E27FC236}">
              <a16:creationId xmlns:a16="http://schemas.microsoft.com/office/drawing/2014/main" id="{92D4610E-3788-4A20-88B3-13CC7FB6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9525</xdr:rowOff>
    </xdr:to>
    <xdr:pic>
      <xdr:nvPicPr>
        <xdr:cNvPr id="68" name="Picture 67" descr="http://www.abs.gov.au/icons/ecblank.gif">
          <a:extLst>
            <a:ext uri="{FF2B5EF4-FFF2-40B4-BE49-F238E27FC236}">
              <a16:creationId xmlns:a16="http://schemas.microsoft.com/office/drawing/2014/main" id="{7534FD7F-AEF6-4378-AFB7-304FFCB2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9525</xdr:rowOff>
    </xdr:to>
    <xdr:pic>
      <xdr:nvPicPr>
        <xdr:cNvPr id="69" name="Picture 68" descr="http://www.abs.gov.au/icons/ecblank.gif">
          <a:extLst>
            <a:ext uri="{FF2B5EF4-FFF2-40B4-BE49-F238E27FC236}">
              <a16:creationId xmlns:a16="http://schemas.microsoft.com/office/drawing/2014/main" id="{43080440-DFCC-4DDE-BFE2-BDB0226AF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8165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70" name="Picture 108" descr="http://www.abs.gov.au/icons/ecblank.gif">
          <a:extLst>
            <a:ext uri="{FF2B5EF4-FFF2-40B4-BE49-F238E27FC236}">
              <a16:creationId xmlns:a16="http://schemas.microsoft.com/office/drawing/2014/main" id="{F8F8FFA2-88AB-45E8-9FB6-8FFF7EE8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71" name="Picture 109" descr="http://www.abs.gov.au/icons/ecblank.gif">
          <a:extLst>
            <a:ext uri="{FF2B5EF4-FFF2-40B4-BE49-F238E27FC236}">
              <a16:creationId xmlns:a16="http://schemas.microsoft.com/office/drawing/2014/main" id="{4D4B0694-0C4C-4793-B215-7F9A9573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5830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72" name="Picture 110" descr="http://www.abs.gov.au/icons/ecblank.gif">
          <a:extLst>
            <a:ext uri="{FF2B5EF4-FFF2-40B4-BE49-F238E27FC236}">
              <a16:creationId xmlns:a16="http://schemas.microsoft.com/office/drawing/2014/main" id="{170C17ED-8F78-4AC8-97B2-7D9E4AA1E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73" name="Picture 111" descr="http://www.abs.gov.au/icons/ecblank.gif">
          <a:extLst>
            <a:ext uri="{FF2B5EF4-FFF2-40B4-BE49-F238E27FC236}">
              <a16:creationId xmlns:a16="http://schemas.microsoft.com/office/drawing/2014/main" id="{40702CE1-D7F5-4FC5-BA93-B55937B4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29100" y="188785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74" name="Picture 73" descr="http://www.abs.gov.au/icons/ecblank.gif">
          <a:extLst>
            <a:ext uri="{FF2B5EF4-FFF2-40B4-BE49-F238E27FC236}">
              <a16:creationId xmlns:a16="http://schemas.microsoft.com/office/drawing/2014/main" id="{15A335CC-55D3-411F-9B5D-06569275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75" name="Picture 74" descr="http://www.abs.gov.au/icons/ecblank.gif">
          <a:extLst>
            <a:ext uri="{FF2B5EF4-FFF2-40B4-BE49-F238E27FC236}">
              <a16:creationId xmlns:a16="http://schemas.microsoft.com/office/drawing/2014/main" id="{85BFDDCA-3EA4-4499-850C-63D180F53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76" name="Picture 75" descr="http://www.abs.gov.au/icons/ecblank.gif">
          <a:extLst>
            <a:ext uri="{FF2B5EF4-FFF2-40B4-BE49-F238E27FC236}">
              <a16:creationId xmlns:a16="http://schemas.microsoft.com/office/drawing/2014/main" id="{B1BDD0C4-1A34-4BBD-9A65-606E25164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77" name="Picture 76" descr="http://www.abs.gov.au/icons/ecblank.gif">
          <a:extLst>
            <a:ext uri="{FF2B5EF4-FFF2-40B4-BE49-F238E27FC236}">
              <a16:creationId xmlns:a16="http://schemas.microsoft.com/office/drawing/2014/main" id="{73701A99-FF20-4A22-B448-8DA9D3E8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78" name="Picture 77" descr="http://www.abs.gov.au/icons/ecblank.gif">
          <a:extLst>
            <a:ext uri="{FF2B5EF4-FFF2-40B4-BE49-F238E27FC236}">
              <a16:creationId xmlns:a16="http://schemas.microsoft.com/office/drawing/2014/main" id="{6FA28985-568F-4497-ABC7-B9188C75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79" name="Picture 78" descr="http://www.abs.gov.au/icons/ecblank.gif">
          <a:extLst>
            <a:ext uri="{FF2B5EF4-FFF2-40B4-BE49-F238E27FC236}">
              <a16:creationId xmlns:a16="http://schemas.microsoft.com/office/drawing/2014/main" id="{9F0936ED-BDED-4765-85A3-C46DE0EF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80" name="Picture 79" descr="http://www.abs.gov.au/icons/ecblank.gif">
          <a:extLst>
            <a:ext uri="{FF2B5EF4-FFF2-40B4-BE49-F238E27FC236}">
              <a16:creationId xmlns:a16="http://schemas.microsoft.com/office/drawing/2014/main" id="{0CA5894F-1FE9-4D12-8928-1B2D5262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81" name="Picture 80" descr="http://www.abs.gov.au/icons/ecblank.gif">
          <a:extLst>
            <a:ext uri="{FF2B5EF4-FFF2-40B4-BE49-F238E27FC236}">
              <a16:creationId xmlns:a16="http://schemas.microsoft.com/office/drawing/2014/main" id="{9BE33EF2-8A92-4987-A563-B75A5770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82" name="Picture 81" descr="http://www.abs.gov.au/icons/ecblank.gif">
          <a:extLst>
            <a:ext uri="{FF2B5EF4-FFF2-40B4-BE49-F238E27FC236}">
              <a16:creationId xmlns:a16="http://schemas.microsoft.com/office/drawing/2014/main" id="{66C98500-68FE-4B70-9A05-0C377F09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3341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83" name="Picture 82" descr="http://www.abs.gov.au/icons/ecblank.gif">
          <a:extLst>
            <a:ext uri="{FF2B5EF4-FFF2-40B4-BE49-F238E27FC236}">
              <a16:creationId xmlns:a16="http://schemas.microsoft.com/office/drawing/2014/main" id="{775A3D69-A61D-4450-89E1-47BD353F7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3341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84" name="Picture 83" descr="http://www.abs.gov.au/icons/ecblank.gif">
          <a:extLst>
            <a:ext uri="{FF2B5EF4-FFF2-40B4-BE49-F238E27FC236}">
              <a16:creationId xmlns:a16="http://schemas.microsoft.com/office/drawing/2014/main" id="{43345C6B-EE2E-4AA6-80F2-06DA3EF6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33412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85" name="Picture 84" descr="http://www.abs.gov.au/icons/ecblank.gif">
          <a:extLst>
            <a:ext uri="{FF2B5EF4-FFF2-40B4-BE49-F238E27FC236}">
              <a16:creationId xmlns:a16="http://schemas.microsoft.com/office/drawing/2014/main" id="{C7D8E9EF-F5BB-415F-846A-AB837228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33412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86" name="Picture 108" descr="http://www.abs.gov.au/icons/ecblank.gif">
          <a:extLst>
            <a:ext uri="{FF2B5EF4-FFF2-40B4-BE49-F238E27FC236}">
              <a16:creationId xmlns:a16="http://schemas.microsoft.com/office/drawing/2014/main" id="{17E69955-098B-40C7-BEDB-E1123DCA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87" name="Picture 109" descr="http://www.abs.gov.au/icons/ecblank.gif">
          <a:extLst>
            <a:ext uri="{FF2B5EF4-FFF2-40B4-BE49-F238E27FC236}">
              <a16:creationId xmlns:a16="http://schemas.microsoft.com/office/drawing/2014/main" id="{DF8066D1-C294-463E-9063-E1A183E53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88" name="Picture 110" descr="http://www.abs.gov.au/icons/ecblank.gif">
          <a:extLst>
            <a:ext uri="{FF2B5EF4-FFF2-40B4-BE49-F238E27FC236}">
              <a16:creationId xmlns:a16="http://schemas.microsoft.com/office/drawing/2014/main" id="{CDE2D3E2-BE65-43B9-A942-98E1DA72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89" name="Picture 111" descr="http://www.abs.gov.au/icons/ecblank.gif">
          <a:extLst>
            <a:ext uri="{FF2B5EF4-FFF2-40B4-BE49-F238E27FC236}">
              <a16:creationId xmlns:a16="http://schemas.microsoft.com/office/drawing/2014/main" id="{FECF276A-C99E-41A6-BBBF-A449B68F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9525</xdr:rowOff>
    </xdr:to>
    <xdr:pic>
      <xdr:nvPicPr>
        <xdr:cNvPr id="90" name="Picture 89" descr="http://www.abs.gov.au/icons/ecblank.gif">
          <a:extLst>
            <a:ext uri="{FF2B5EF4-FFF2-40B4-BE49-F238E27FC236}">
              <a16:creationId xmlns:a16="http://schemas.microsoft.com/office/drawing/2014/main" id="{88BB9691-ED46-4F62-A70F-1C121624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9525</xdr:rowOff>
    </xdr:to>
    <xdr:pic>
      <xdr:nvPicPr>
        <xdr:cNvPr id="91" name="Picture 90" descr="http://www.abs.gov.au/icons/ecblank.gif">
          <a:extLst>
            <a:ext uri="{FF2B5EF4-FFF2-40B4-BE49-F238E27FC236}">
              <a16:creationId xmlns:a16="http://schemas.microsoft.com/office/drawing/2014/main" id="{C8726C1C-40CD-48A9-87E5-2DD759EE3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95</xdr:row>
      <xdr:rowOff>0</xdr:rowOff>
    </xdr:from>
    <xdr:to>
      <xdr:col>7</xdr:col>
      <xdr:colOff>0</xdr:colOff>
      <xdr:row>95</xdr:row>
      <xdr:rowOff>9525</xdr:rowOff>
    </xdr:to>
    <xdr:pic>
      <xdr:nvPicPr>
        <xdr:cNvPr id="92" name="Picture 91" descr="http://www.abs.gov.au/icons/ecblank.gif">
          <a:extLst>
            <a:ext uri="{FF2B5EF4-FFF2-40B4-BE49-F238E27FC236}">
              <a16:creationId xmlns:a16="http://schemas.microsoft.com/office/drawing/2014/main" id="{9452506E-0851-4F5F-A5D5-97D4D7567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95</xdr:row>
      <xdr:rowOff>0</xdr:rowOff>
    </xdr:from>
    <xdr:to>
      <xdr:col>7</xdr:col>
      <xdr:colOff>0</xdr:colOff>
      <xdr:row>95</xdr:row>
      <xdr:rowOff>9525</xdr:rowOff>
    </xdr:to>
    <xdr:pic>
      <xdr:nvPicPr>
        <xdr:cNvPr id="93" name="Picture 92" descr="http://www.abs.gov.au/icons/ecblank.gif">
          <a:extLst>
            <a:ext uri="{FF2B5EF4-FFF2-40B4-BE49-F238E27FC236}">
              <a16:creationId xmlns:a16="http://schemas.microsoft.com/office/drawing/2014/main" id="{8D6D3109-D7D7-48C8-AD4C-81ACAA49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9525</xdr:rowOff>
    </xdr:to>
    <xdr:pic>
      <xdr:nvPicPr>
        <xdr:cNvPr id="94" name="Picture 93" descr="http://www.abs.gov.au/icons/ecblank.gif">
          <a:extLst>
            <a:ext uri="{FF2B5EF4-FFF2-40B4-BE49-F238E27FC236}">
              <a16:creationId xmlns:a16="http://schemas.microsoft.com/office/drawing/2014/main" id="{D41C4C34-AA6F-4DCD-87B3-4AC25252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9525</xdr:rowOff>
    </xdr:to>
    <xdr:pic>
      <xdr:nvPicPr>
        <xdr:cNvPr id="95" name="Picture 94" descr="http://www.abs.gov.au/icons/ecblank.gif">
          <a:extLst>
            <a:ext uri="{FF2B5EF4-FFF2-40B4-BE49-F238E27FC236}">
              <a16:creationId xmlns:a16="http://schemas.microsoft.com/office/drawing/2014/main" id="{5C147AA5-9D80-4858-82CB-50E07A2D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95</xdr:row>
      <xdr:rowOff>0</xdr:rowOff>
    </xdr:from>
    <xdr:to>
      <xdr:col>7</xdr:col>
      <xdr:colOff>0</xdr:colOff>
      <xdr:row>95</xdr:row>
      <xdr:rowOff>9525</xdr:rowOff>
    </xdr:to>
    <xdr:pic>
      <xdr:nvPicPr>
        <xdr:cNvPr id="96" name="Picture 95" descr="http://www.abs.gov.au/icons/ecblank.gif">
          <a:extLst>
            <a:ext uri="{FF2B5EF4-FFF2-40B4-BE49-F238E27FC236}">
              <a16:creationId xmlns:a16="http://schemas.microsoft.com/office/drawing/2014/main" id="{2FA4B90B-3B66-4FBE-B957-A20CDF64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95</xdr:row>
      <xdr:rowOff>0</xdr:rowOff>
    </xdr:from>
    <xdr:to>
      <xdr:col>7</xdr:col>
      <xdr:colOff>0</xdr:colOff>
      <xdr:row>95</xdr:row>
      <xdr:rowOff>9525</xdr:rowOff>
    </xdr:to>
    <xdr:pic>
      <xdr:nvPicPr>
        <xdr:cNvPr id="97" name="Picture 96" descr="http://www.abs.gov.au/icons/ecblank.gif">
          <a:extLst>
            <a:ext uri="{FF2B5EF4-FFF2-40B4-BE49-F238E27FC236}">
              <a16:creationId xmlns:a16="http://schemas.microsoft.com/office/drawing/2014/main" id="{C47C828F-4904-48AD-9284-4352FCC2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98" name="Picture 97" descr="http://www.abs.gov.au/icons/ecblank.gif">
          <a:extLst>
            <a:ext uri="{FF2B5EF4-FFF2-40B4-BE49-F238E27FC236}">
              <a16:creationId xmlns:a16="http://schemas.microsoft.com/office/drawing/2014/main" id="{924DC850-EDA6-49A5-A3B0-78BE77BB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3341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99" name="Picture 98" descr="http://www.abs.gov.au/icons/ecblank.gif">
          <a:extLst>
            <a:ext uri="{FF2B5EF4-FFF2-40B4-BE49-F238E27FC236}">
              <a16:creationId xmlns:a16="http://schemas.microsoft.com/office/drawing/2014/main" id="{2C78713C-964B-4377-8BBB-FD4D6612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3341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100" name="Picture 99" descr="http://www.abs.gov.au/icons/ecblank.gif">
          <a:extLst>
            <a:ext uri="{FF2B5EF4-FFF2-40B4-BE49-F238E27FC236}">
              <a16:creationId xmlns:a16="http://schemas.microsoft.com/office/drawing/2014/main" id="{0AF5D628-D660-40DF-8EE6-A978A238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33412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101" name="Picture 100" descr="http://www.abs.gov.au/icons/ecblank.gif">
          <a:extLst>
            <a:ext uri="{FF2B5EF4-FFF2-40B4-BE49-F238E27FC236}">
              <a16:creationId xmlns:a16="http://schemas.microsoft.com/office/drawing/2014/main" id="{BE1C2906-DA2F-4363-BF62-2AD3F8ABE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33412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9525</xdr:rowOff>
    </xdr:to>
    <xdr:pic>
      <xdr:nvPicPr>
        <xdr:cNvPr id="102" name="Picture 108" descr="http://www.abs.gov.au/icons/ecblank.gif">
          <a:extLst>
            <a:ext uri="{FF2B5EF4-FFF2-40B4-BE49-F238E27FC236}">
              <a16:creationId xmlns:a16="http://schemas.microsoft.com/office/drawing/2014/main" id="{BD7F04E2-EA64-4E90-8DE9-CD12A17C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9525</xdr:rowOff>
    </xdr:to>
    <xdr:pic>
      <xdr:nvPicPr>
        <xdr:cNvPr id="103" name="Picture 109" descr="http://www.abs.gov.au/icons/ecblank.gif">
          <a:extLst>
            <a:ext uri="{FF2B5EF4-FFF2-40B4-BE49-F238E27FC236}">
              <a16:creationId xmlns:a16="http://schemas.microsoft.com/office/drawing/2014/main" id="{5F5A8758-0FD1-4C10-910C-F346C028C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95</xdr:row>
      <xdr:rowOff>0</xdr:rowOff>
    </xdr:from>
    <xdr:to>
      <xdr:col>7</xdr:col>
      <xdr:colOff>0</xdr:colOff>
      <xdr:row>95</xdr:row>
      <xdr:rowOff>9525</xdr:rowOff>
    </xdr:to>
    <xdr:pic>
      <xdr:nvPicPr>
        <xdr:cNvPr id="104" name="Picture 110" descr="http://www.abs.gov.au/icons/ecblank.gif">
          <a:extLst>
            <a:ext uri="{FF2B5EF4-FFF2-40B4-BE49-F238E27FC236}">
              <a16:creationId xmlns:a16="http://schemas.microsoft.com/office/drawing/2014/main" id="{E8FBB5B5-8B2B-4AD2-85D4-57C8E700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95</xdr:row>
      <xdr:rowOff>0</xdr:rowOff>
    </xdr:from>
    <xdr:to>
      <xdr:col>7</xdr:col>
      <xdr:colOff>0</xdr:colOff>
      <xdr:row>95</xdr:row>
      <xdr:rowOff>9525</xdr:rowOff>
    </xdr:to>
    <xdr:pic>
      <xdr:nvPicPr>
        <xdr:cNvPr id="105" name="Picture 111" descr="http://www.abs.gov.au/icons/ecblank.gif">
          <a:extLst>
            <a:ext uri="{FF2B5EF4-FFF2-40B4-BE49-F238E27FC236}">
              <a16:creationId xmlns:a16="http://schemas.microsoft.com/office/drawing/2014/main" id="{21848567-72C3-461D-A586-0191EC2C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1967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79</xdr:row>
      <xdr:rowOff>9525</xdr:rowOff>
    </xdr:to>
    <xdr:pic>
      <xdr:nvPicPr>
        <xdr:cNvPr id="106" name="Picture 105" descr="http://www.abs.gov.au/icons/ecblank.gif">
          <a:extLst>
            <a:ext uri="{FF2B5EF4-FFF2-40B4-BE49-F238E27FC236}">
              <a16:creationId xmlns:a16="http://schemas.microsoft.com/office/drawing/2014/main" id="{530969FE-9BA1-42DC-B6AC-FF296EF2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762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79</xdr:row>
      <xdr:rowOff>9525</xdr:rowOff>
    </xdr:to>
    <xdr:pic>
      <xdr:nvPicPr>
        <xdr:cNvPr id="107" name="Picture 106" descr="http://www.abs.gov.au/icons/ecblank.gif">
          <a:extLst>
            <a:ext uri="{FF2B5EF4-FFF2-40B4-BE49-F238E27FC236}">
              <a16:creationId xmlns:a16="http://schemas.microsoft.com/office/drawing/2014/main" id="{0697249C-C933-4742-B885-C7E31E03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762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0</xdr:colOff>
      <xdr:row>95</xdr:row>
      <xdr:rowOff>9525</xdr:rowOff>
    </xdr:to>
    <xdr:pic>
      <xdr:nvPicPr>
        <xdr:cNvPr id="108" name="Picture 107" descr="http://www.abs.gov.au/icons/ecblank.gif">
          <a:extLst>
            <a:ext uri="{FF2B5EF4-FFF2-40B4-BE49-F238E27FC236}">
              <a16:creationId xmlns:a16="http://schemas.microsoft.com/office/drawing/2014/main" id="{EAEAF226-A3E1-49FC-9E8A-02CEDBE3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76287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0</xdr:colOff>
      <xdr:row>95</xdr:row>
      <xdr:rowOff>9525</xdr:rowOff>
    </xdr:to>
    <xdr:pic>
      <xdr:nvPicPr>
        <xdr:cNvPr id="109" name="Picture 108" descr="http://www.abs.gov.au/icons/ecblank.gif">
          <a:extLst>
            <a:ext uri="{FF2B5EF4-FFF2-40B4-BE49-F238E27FC236}">
              <a16:creationId xmlns:a16="http://schemas.microsoft.com/office/drawing/2014/main" id="{D8D3EF17-21E2-445E-A297-18024D1B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76287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79</xdr:row>
      <xdr:rowOff>9525</xdr:rowOff>
    </xdr:to>
    <xdr:pic>
      <xdr:nvPicPr>
        <xdr:cNvPr id="110" name="Picture 109" descr="http://www.abs.gov.au/icons/ecblank.gif">
          <a:extLst>
            <a:ext uri="{FF2B5EF4-FFF2-40B4-BE49-F238E27FC236}">
              <a16:creationId xmlns:a16="http://schemas.microsoft.com/office/drawing/2014/main" id="{1426A55E-D728-443E-A1CB-D49F91D3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762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79</xdr:row>
      <xdr:rowOff>9525</xdr:rowOff>
    </xdr:to>
    <xdr:pic>
      <xdr:nvPicPr>
        <xdr:cNvPr id="111" name="Picture 110" descr="http://www.abs.gov.au/icons/ecblank.gif">
          <a:extLst>
            <a:ext uri="{FF2B5EF4-FFF2-40B4-BE49-F238E27FC236}">
              <a16:creationId xmlns:a16="http://schemas.microsoft.com/office/drawing/2014/main" id="{BF3EB6C6-E04C-401B-90B1-8561F244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762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0</xdr:colOff>
      <xdr:row>95</xdr:row>
      <xdr:rowOff>9525</xdr:rowOff>
    </xdr:to>
    <xdr:pic>
      <xdr:nvPicPr>
        <xdr:cNvPr id="112" name="Picture 111" descr="http://www.abs.gov.au/icons/ecblank.gif">
          <a:extLst>
            <a:ext uri="{FF2B5EF4-FFF2-40B4-BE49-F238E27FC236}">
              <a16:creationId xmlns:a16="http://schemas.microsoft.com/office/drawing/2014/main" id="{143AD703-2291-43A6-A311-5B4CE05C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76287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0</xdr:colOff>
      <xdr:row>95</xdr:row>
      <xdr:rowOff>9525</xdr:rowOff>
    </xdr:to>
    <xdr:pic>
      <xdr:nvPicPr>
        <xdr:cNvPr id="113" name="Picture 112" descr="http://www.abs.gov.au/icons/ecblank.gif">
          <a:extLst>
            <a:ext uri="{FF2B5EF4-FFF2-40B4-BE49-F238E27FC236}">
              <a16:creationId xmlns:a16="http://schemas.microsoft.com/office/drawing/2014/main" id="{EB2DFFEC-BFEE-4F45-A8E2-1078926B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762875" y="18973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76</xdr:row>
      <xdr:rowOff>171450</xdr:rowOff>
    </xdr:from>
    <xdr:to>
      <xdr:col>7</xdr:col>
      <xdr:colOff>9525</xdr:colOff>
      <xdr:row>76</xdr:row>
      <xdr:rowOff>180975</xdr:rowOff>
    </xdr:to>
    <xdr:pic>
      <xdr:nvPicPr>
        <xdr:cNvPr id="114" name="Picture 113" descr="http://www.abs.gov.au/icons/ecblank.gif">
          <a:extLst>
            <a:ext uri="{FF2B5EF4-FFF2-40B4-BE49-F238E27FC236}">
              <a16:creationId xmlns:a16="http://schemas.microsoft.com/office/drawing/2014/main" id="{9894B225-9A2E-4BD2-ABA0-BD45AF83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29200" y="15525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76</xdr:row>
      <xdr:rowOff>171450</xdr:rowOff>
    </xdr:from>
    <xdr:to>
      <xdr:col>7</xdr:col>
      <xdr:colOff>9525</xdr:colOff>
      <xdr:row>76</xdr:row>
      <xdr:rowOff>180975</xdr:rowOff>
    </xdr:to>
    <xdr:pic>
      <xdr:nvPicPr>
        <xdr:cNvPr id="115" name="Picture 114" descr="http://www.abs.gov.au/icons/ecblank.gif">
          <a:extLst>
            <a:ext uri="{FF2B5EF4-FFF2-40B4-BE49-F238E27FC236}">
              <a16:creationId xmlns:a16="http://schemas.microsoft.com/office/drawing/2014/main" id="{B4BAD4DB-5F92-4D7D-B5D2-C6F106A0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29200" y="15525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76</xdr:row>
      <xdr:rowOff>171450</xdr:rowOff>
    </xdr:from>
    <xdr:to>
      <xdr:col>7</xdr:col>
      <xdr:colOff>9525</xdr:colOff>
      <xdr:row>76</xdr:row>
      <xdr:rowOff>180975</xdr:rowOff>
    </xdr:to>
    <xdr:pic>
      <xdr:nvPicPr>
        <xdr:cNvPr id="116" name="Picture 115" descr="http://www.abs.gov.au/icons/ecblank.gif">
          <a:extLst>
            <a:ext uri="{FF2B5EF4-FFF2-40B4-BE49-F238E27FC236}">
              <a16:creationId xmlns:a16="http://schemas.microsoft.com/office/drawing/2014/main" id="{ADE9198E-F419-48A8-99AE-F5A6F846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29200" y="15525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76</xdr:row>
      <xdr:rowOff>171450</xdr:rowOff>
    </xdr:from>
    <xdr:to>
      <xdr:col>7</xdr:col>
      <xdr:colOff>9525</xdr:colOff>
      <xdr:row>76</xdr:row>
      <xdr:rowOff>180975</xdr:rowOff>
    </xdr:to>
    <xdr:pic>
      <xdr:nvPicPr>
        <xdr:cNvPr id="117" name="Picture 116" descr="http://www.abs.gov.au/icons/ecblank.gif">
          <a:extLst>
            <a:ext uri="{FF2B5EF4-FFF2-40B4-BE49-F238E27FC236}">
              <a16:creationId xmlns:a16="http://schemas.microsoft.com/office/drawing/2014/main" id="{515D513C-39BE-47C1-827B-30B7574B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29200" y="15525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76</xdr:row>
      <xdr:rowOff>171450</xdr:rowOff>
    </xdr:from>
    <xdr:to>
      <xdr:col>7</xdr:col>
      <xdr:colOff>9525</xdr:colOff>
      <xdr:row>76</xdr:row>
      <xdr:rowOff>180975</xdr:rowOff>
    </xdr:to>
    <xdr:pic>
      <xdr:nvPicPr>
        <xdr:cNvPr id="118" name="Picture 117" descr="http://www.abs.gov.au/icons/ecblank.gif">
          <a:extLst>
            <a:ext uri="{FF2B5EF4-FFF2-40B4-BE49-F238E27FC236}">
              <a16:creationId xmlns:a16="http://schemas.microsoft.com/office/drawing/2014/main" id="{40B5CE06-A232-4441-8D1B-840C22CD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029200" y="155257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79</xdr:row>
      <xdr:rowOff>171450</xdr:rowOff>
    </xdr:from>
    <xdr:to>
      <xdr:col>8</xdr:col>
      <xdr:colOff>9525</xdr:colOff>
      <xdr:row>79</xdr:row>
      <xdr:rowOff>180975</xdr:rowOff>
    </xdr:to>
    <xdr:pic>
      <xdr:nvPicPr>
        <xdr:cNvPr id="119" name="Picture 118" descr="http://www.abs.gov.au/icons/ecblank.gif">
          <a:extLst>
            <a:ext uri="{FF2B5EF4-FFF2-40B4-BE49-F238E27FC236}">
              <a16:creationId xmlns:a16="http://schemas.microsoft.com/office/drawing/2014/main" id="{504754CD-9A50-4F16-B4C7-80A68ADD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62625" y="16097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82</xdr:row>
      <xdr:rowOff>0</xdr:rowOff>
    </xdr:from>
    <xdr:to>
      <xdr:col>8</xdr:col>
      <xdr:colOff>0</xdr:colOff>
      <xdr:row>82</xdr:row>
      <xdr:rowOff>9525</xdr:rowOff>
    </xdr:to>
    <xdr:pic>
      <xdr:nvPicPr>
        <xdr:cNvPr id="120" name="Picture 119" descr="http://www.abs.gov.au/icons/ecblank.gif">
          <a:extLst>
            <a:ext uri="{FF2B5EF4-FFF2-40B4-BE49-F238E27FC236}">
              <a16:creationId xmlns:a16="http://schemas.microsoft.com/office/drawing/2014/main" id="{E6C7851B-338F-49D0-B2DB-9E442771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6497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82</xdr:row>
      <xdr:rowOff>0</xdr:rowOff>
    </xdr:from>
    <xdr:to>
      <xdr:col>8</xdr:col>
      <xdr:colOff>0</xdr:colOff>
      <xdr:row>82</xdr:row>
      <xdr:rowOff>9525</xdr:rowOff>
    </xdr:to>
    <xdr:pic>
      <xdr:nvPicPr>
        <xdr:cNvPr id="121" name="Picture 120" descr="http://www.abs.gov.au/icons/ecblank.gif">
          <a:extLst>
            <a:ext uri="{FF2B5EF4-FFF2-40B4-BE49-F238E27FC236}">
              <a16:creationId xmlns:a16="http://schemas.microsoft.com/office/drawing/2014/main" id="{CD23DB7F-F74C-46A2-8CD5-427C77A6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6497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98</xdr:row>
      <xdr:rowOff>0</xdr:rowOff>
    </xdr:from>
    <xdr:to>
      <xdr:col>8</xdr:col>
      <xdr:colOff>0</xdr:colOff>
      <xdr:row>98</xdr:row>
      <xdr:rowOff>9525</xdr:rowOff>
    </xdr:to>
    <xdr:pic>
      <xdr:nvPicPr>
        <xdr:cNvPr id="122" name="Picture 121" descr="http://www.abs.gov.au/icons/ecblank.gif">
          <a:extLst>
            <a:ext uri="{FF2B5EF4-FFF2-40B4-BE49-F238E27FC236}">
              <a16:creationId xmlns:a16="http://schemas.microsoft.com/office/drawing/2014/main" id="{7BAF3024-9453-4078-BC7E-6AC1C1CFC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9545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98</xdr:row>
      <xdr:rowOff>0</xdr:rowOff>
    </xdr:from>
    <xdr:to>
      <xdr:col>8</xdr:col>
      <xdr:colOff>0</xdr:colOff>
      <xdr:row>98</xdr:row>
      <xdr:rowOff>9525</xdr:rowOff>
    </xdr:to>
    <xdr:pic>
      <xdr:nvPicPr>
        <xdr:cNvPr id="123" name="Picture 122" descr="http://www.abs.gov.au/icons/ecblank.gif">
          <a:extLst>
            <a:ext uri="{FF2B5EF4-FFF2-40B4-BE49-F238E27FC236}">
              <a16:creationId xmlns:a16="http://schemas.microsoft.com/office/drawing/2014/main" id="{4A3A34BB-A83C-4BE1-8B8B-A1F9B4E2C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9545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82</xdr:row>
      <xdr:rowOff>0</xdr:rowOff>
    </xdr:from>
    <xdr:to>
      <xdr:col>8</xdr:col>
      <xdr:colOff>0</xdr:colOff>
      <xdr:row>82</xdr:row>
      <xdr:rowOff>9525</xdr:rowOff>
    </xdr:to>
    <xdr:pic>
      <xdr:nvPicPr>
        <xdr:cNvPr id="124" name="Picture 123" descr="http://www.abs.gov.au/icons/ecblank.gif">
          <a:extLst>
            <a:ext uri="{FF2B5EF4-FFF2-40B4-BE49-F238E27FC236}">
              <a16:creationId xmlns:a16="http://schemas.microsoft.com/office/drawing/2014/main" id="{DDEC52DF-8270-45F6-A03D-75CBF25A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6497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82</xdr:row>
      <xdr:rowOff>0</xdr:rowOff>
    </xdr:from>
    <xdr:to>
      <xdr:col>8</xdr:col>
      <xdr:colOff>0</xdr:colOff>
      <xdr:row>82</xdr:row>
      <xdr:rowOff>9525</xdr:rowOff>
    </xdr:to>
    <xdr:pic>
      <xdr:nvPicPr>
        <xdr:cNvPr id="125" name="Picture 124" descr="http://www.abs.gov.au/icons/ecblank.gif">
          <a:extLst>
            <a:ext uri="{FF2B5EF4-FFF2-40B4-BE49-F238E27FC236}">
              <a16:creationId xmlns:a16="http://schemas.microsoft.com/office/drawing/2014/main" id="{6FA81F6B-F4EF-4CF9-BBA9-31D468A7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6497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98</xdr:row>
      <xdr:rowOff>0</xdr:rowOff>
    </xdr:from>
    <xdr:to>
      <xdr:col>8</xdr:col>
      <xdr:colOff>0</xdr:colOff>
      <xdr:row>98</xdr:row>
      <xdr:rowOff>9525</xdr:rowOff>
    </xdr:to>
    <xdr:pic>
      <xdr:nvPicPr>
        <xdr:cNvPr id="126" name="Picture 125" descr="http://www.abs.gov.au/icons/ecblank.gif">
          <a:extLst>
            <a:ext uri="{FF2B5EF4-FFF2-40B4-BE49-F238E27FC236}">
              <a16:creationId xmlns:a16="http://schemas.microsoft.com/office/drawing/2014/main" id="{4A24AF08-0582-4A7E-82DF-01AA003D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9545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98</xdr:row>
      <xdr:rowOff>0</xdr:rowOff>
    </xdr:from>
    <xdr:to>
      <xdr:col>8</xdr:col>
      <xdr:colOff>0</xdr:colOff>
      <xdr:row>98</xdr:row>
      <xdr:rowOff>9525</xdr:rowOff>
    </xdr:to>
    <xdr:pic>
      <xdr:nvPicPr>
        <xdr:cNvPr id="127" name="Picture 126" descr="http://www.abs.gov.au/icons/ecblank.gif">
          <a:extLst>
            <a:ext uri="{FF2B5EF4-FFF2-40B4-BE49-F238E27FC236}">
              <a16:creationId xmlns:a16="http://schemas.microsoft.com/office/drawing/2014/main" id="{46DBE89D-2ABB-4B66-BA3D-39D13216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9545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0</xdr:colOff>
      <xdr:row>82</xdr:row>
      <xdr:rowOff>9525</xdr:rowOff>
    </xdr:to>
    <xdr:pic>
      <xdr:nvPicPr>
        <xdr:cNvPr id="128" name="Picture 127" descr="http://www.abs.gov.au/icons/ecblank.gif">
          <a:extLst>
            <a:ext uri="{FF2B5EF4-FFF2-40B4-BE49-F238E27FC236}">
              <a16:creationId xmlns:a16="http://schemas.microsoft.com/office/drawing/2014/main" id="{B902B530-ECAF-4D48-93A2-2492F2F8E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6497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0</xdr:colOff>
      <xdr:row>82</xdr:row>
      <xdr:rowOff>9525</xdr:rowOff>
    </xdr:to>
    <xdr:pic>
      <xdr:nvPicPr>
        <xdr:cNvPr id="129" name="Picture 128" descr="http://www.abs.gov.au/icons/ecblank.gif">
          <a:extLst>
            <a:ext uri="{FF2B5EF4-FFF2-40B4-BE49-F238E27FC236}">
              <a16:creationId xmlns:a16="http://schemas.microsoft.com/office/drawing/2014/main" id="{A3175FB7-AE9E-4996-B14F-6A3E9CFFB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6497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0</xdr:colOff>
      <xdr:row>98</xdr:row>
      <xdr:rowOff>9525</xdr:rowOff>
    </xdr:to>
    <xdr:pic>
      <xdr:nvPicPr>
        <xdr:cNvPr id="130" name="Picture 129" descr="http://www.abs.gov.au/icons/ecblank.gif">
          <a:extLst>
            <a:ext uri="{FF2B5EF4-FFF2-40B4-BE49-F238E27FC236}">
              <a16:creationId xmlns:a16="http://schemas.microsoft.com/office/drawing/2014/main" id="{AAE934DB-8B2A-49F3-8BE6-5C5A09566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9545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0</xdr:colOff>
      <xdr:row>98</xdr:row>
      <xdr:rowOff>9525</xdr:rowOff>
    </xdr:to>
    <xdr:pic>
      <xdr:nvPicPr>
        <xdr:cNvPr id="131" name="Picture 130" descr="http://www.abs.gov.au/icons/ecblank.gif">
          <a:extLst>
            <a:ext uri="{FF2B5EF4-FFF2-40B4-BE49-F238E27FC236}">
              <a16:creationId xmlns:a16="http://schemas.microsoft.com/office/drawing/2014/main" id="{156EF738-61A8-4E5B-890B-242BDF39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9545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82</xdr:row>
      <xdr:rowOff>0</xdr:rowOff>
    </xdr:from>
    <xdr:to>
      <xdr:col>8</xdr:col>
      <xdr:colOff>0</xdr:colOff>
      <xdr:row>82</xdr:row>
      <xdr:rowOff>9525</xdr:rowOff>
    </xdr:to>
    <xdr:pic>
      <xdr:nvPicPr>
        <xdr:cNvPr id="132" name="Picture 108" descr="http://www.abs.gov.au/icons/ecblank.gif">
          <a:extLst>
            <a:ext uri="{FF2B5EF4-FFF2-40B4-BE49-F238E27FC236}">
              <a16:creationId xmlns:a16="http://schemas.microsoft.com/office/drawing/2014/main" id="{57CDBF39-CB84-4774-B15C-E83ACDAD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6497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82</xdr:row>
      <xdr:rowOff>0</xdr:rowOff>
    </xdr:from>
    <xdr:to>
      <xdr:col>8</xdr:col>
      <xdr:colOff>0</xdr:colOff>
      <xdr:row>82</xdr:row>
      <xdr:rowOff>9525</xdr:rowOff>
    </xdr:to>
    <xdr:pic>
      <xdr:nvPicPr>
        <xdr:cNvPr id="133" name="Picture 109" descr="http://www.abs.gov.au/icons/ecblank.gif">
          <a:extLst>
            <a:ext uri="{FF2B5EF4-FFF2-40B4-BE49-F238E27FC236}">
              <a16:creationId xmlns:a16="http://schemas.microsoft.com/office/drawing/2014/main" id="{2AB5F563-D5DA-46F8-B964-484E6E56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6497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98</xdr:row>
      <xdr:rowOff>0</xdr:rowOff>
    </xdr:from>
    <xdr:to>
      <xdr:col>8</xdr:col>
      <xdr:colOff>0</xdr:colOff>
      <xdr:row>98</xdr:row>
      <xdr:rowOff>9525</xdr:rowOff>
    </xdr:to>
    <xdr:pic>
      <xdr:nvPicPr>
        <xdr:cNvPr id="134" name="Picture 110" descr="http://www.abs.gov.au/icons/ecblank.gif">
          <a:extLst>
            <a:ext uri="{FF2B5EF4-FFF2-40B4-BE49-F238E27FC236}">
              <a16:creationId xmlns:a16="http://schemas.microsoft.com/office/drawing/2014/main" id="{4E99875F-3F14-4FCA-8CD9-2E2DD30D5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9545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98</xdr:row>
      <xdr:rowOff>0</xdr:rowOff>
    </xdr:from>
    <xdr:to>
      <xdr:col>8</xdr:col>
      <xdr:colOff>0</xdr:colOff>
      <xdr:row>98</xdr:row>
      <xdr:rowOff>9525</xdr:rowOff>
    </xdr:to>
    <xdr:pic>
      <xdr:nvPicPr>
        <xdr:cNvPr id="135" name="Picture 111" descr="http://www.abs.gov.au/icons/ecblank.gif">
          <a:extLst>
            <a:ext uri="{FF2B5EF4-FFF2-40B4-BE49-F238E27FC236}">
              <a16:creationId xmlns:a16="http://schemas.microsoft.com/office/drawing/2014/main" id="{505A30FC-909A-420B-9717-60430D69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9545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136" name="Picture 135" descr="http://www.abs.gov.au/icons/ecblank.gif">
          <a:extLst>
            <a:ext uri="{FF2B5EF4-FFF2-40B4-BE49-F238E27FC236}">
              <a16:creationId xmlns:a16="http://schemas.microsoft.com/office/drawing/2014/main" id="{039A3B3A-AFE1-445B-B0CF-C23F3DCC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306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137" name="Picture 136" descr="http://www.abs.gov.au/icons/ecblank.gif">
          <a:extLst>
            <a:ext uri="{FF2B5EF4-FFF2-40B4-BE49-F238E27FC236}">
              <a16:creationId xmlns:a16="http://schemas.microsoft.com/office/drawing/2014/main" id="{F4B5F054-EE5D-4C26-BDA2-FB936D45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306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138" name="Picture 137" descr="http://www.abs.gov.au/icons/ecblank.gif">
          <a:extLst>
            <a:ext uri="{FF2B5EF4-FFF2-40B4-BE49-F238E27FC236}">
              <a16:creationId xmlns:a16="http://schemas.microsoft.com/office/drawing/2014/main" id="{87199301-A0C7-4B6A-BD4A-3D708E8D3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354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139" name="Picture 138" descr="http://www.abs.gov.au/icons/ecblank.gif">
          <a:extLst>
            <a:ext uri="{FF2B5EF4-FFF2-40B4-BE49-F238E27FC236}">
              <a16:creationId xmlns:a16="http://schemas.microsoft.com/office/drawing/2014/main" id="{4ECC4B1F-7723-4E9F-9045-569257F1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354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140" name="Picture 139" descr="http://www.abs.gov.au/icons/ecblank.gif">
          <a:extLst>
            <a:ext uri="{FF2B5EF4-FFF2-40B4-BE49-F238E27FC236}">
              <a16:creationId xmlns:a16="http://schemas.microsoft.com/office/drawing/2014/main" id="{61A9DFBD-590F-492E-BB32-1D13CBB7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306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141" name="Picture 140" descr="http://www.abs.gov.au/icons/ecblank.gif">
          <a:extLst>
            <a:ext uri="{FF2B5EF4-FFF2-40B4-BE49-F238E27FC236}">
              <a16:creationId xmlns:a16="http://schemas.microsoft.com/office/drawing/2014/main" id="{DD14AA82-F33E-4043-960A-B40F92F4E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306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142" name="Picture 141" descr="http://www.abs.gov.au/icons/ecblank.gif">
          <a:extLst>
            <a:ext uri="{FF2B5EF4-FFF2-40B4-BE49-F238E27FC236}">
              <a16:creationId xmlns:a16="http://schemas.microsoft.com/office/drawing/2014/main" id="{8DB394F9-40E6-44FE-8BF3-F1DDB675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354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143" name="Picture 142" descr="http://www.abs.gov.au/icons/ecblank.gif">
          <a:extLst>
            <a:ext uri="{FF2B5EF4-FFF2-40B4-BE49-F238E27FC236}">
              <a16:creationId xmlns:a16="http://schemas.microsoft.com/office/drawing/2014/main" id="{8072727F-BC91-4529-93F3-0FBAB5989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354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9525</xdr:rowOff>
    </xdr:to>
    <xdr:pic>
      <xdr:nvPicPr>
        <xdr:cNvPr id="144" name="Picture 143" descr="http://www.abs.gov.au/icons/ecblank.gif">
          <a:extLst>
            <a:ext uri="{FF2B5EF4-FFF2-40B4-BE49-F238E27FC236}">
              <a16:creationId xmlns:a16="http://schemas.microsoft.com/office/drawing/2014/main" id="{A7F0CB7E-356E-4CBD-996E-4F9399B5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9525</xdr:rowOff>
    </xdr:to>
    <xdr:pic>
      <xdr:nvPicPr>
        <xdr:cNvPr id="145" name="Picture 144" descr="http://www.abs.gov.au/icons/ecblank.gif">
          <a:extLst>
            <a:ext uri="{FF2B5EF4-FFF2-40B4-BE49-F238E27FC236}">
              <a16:creationId xmlns:a16="http://schemas.microsoft.com/office/drawing/2014/main" id="{BF999B54-1D91-4205-98FA-9C3F72434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9525</xdr:rowOff>
    </xdr:to>
    <xdr:pic>
      <xdr:nvPicPr>
        <xdr:cNvPr id="146" name="Picture 145" descr="http://www.abs.gov.au/icons/ecblank.gif">
          <a:extLst>
            <a:ext uri="{FF2B5EF4-FFF2-40B4-BE49-F238E27FC236}">
              <a16:creationId xmlns:a16="http://schemas.microsoft.com/office/drawing/2014/main" id="{7F814A52-2657-4683-90BF-52D79C75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9525</xdr:rowOff>
    </xdr:to>
    <xdr:pic>
      <xdr:nvPicPr>
        <xdr:cNvPr id="147" name="Picture 146" descr="http://www.abs.gov.au/icons/ecblank.gif">
          <a:extLst>
            <a:ext uri="{FF2B5EF4-FFF2-40B4-BE49-F238E27FC236}">
              <a16:creationId xmlns:a16="http://schemas.microsoft.com/office/drawing/2014/main" id="{6D1F6326-303F-4F71-83C7-B8AD470C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148" name="Picture 108" descr="http://www.abs.gov.au/icons/ecblank.gif">
          <a:extLst>
            <a:ext uri="{FF2B5EF4-FFF2-40B4-BE49-F238E27FC236}">
              <a16:creationId xmlns:a16="http://schemas.microsoft.com/office/drawing/2014/main" id="{D43489BE-8DB1-42D8-A3E5-BF461BA5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306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149" name="Picture 109" descr="http://www.abs.gov.au/icons/ecblank.gif">
          <a:extLst>
            <a:ext uri="{FF2B5EF4-FFF2-40B4-BE49-F238E27FC236}">
              <a16:creationId xmlns:a16="http://schemas.microsoft.com/office/drawing/2014/main" id="{7F9FC843-AC6B-4458-BE50-CDD0FFF0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306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150" name="Picture 110" descr="http://www.abs.gov.au/icons/ecblank.gif">
          <a:extLst>
            <a:ext uri="{FF2B5EF4-FFF2-40B4-BE49-F238E27FC236}">
              <a16:creationId xmlns:a16="http://schemas.microsoft.com/office/drawing/2014/main" id="{0FD43A8F-53A9-4583-B21B-B294F82A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354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151" name="Picture 111" descr="http://www.abs.gov.au/icons/ecblank.gif">
          <a:extLst>
            <a:ext uri="{FF2B5EF4-FFF2-40B4-BE49-F238E27FC236}">
              <a16:creationId xmlns:a16="http://schemas.microsoft.com/office/drawing/2014/main" id="{63F83DCB-44C4-44D7-9724-772B9BBCF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354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52" name="Picture 151" descr="http://www.abs.gov.au/icons/ecblank.gif">
          <a:extLst>
            <a:ext uri="{FF2B5EF4-FFF2-40B4-BE49-F238E27FC236}">
              <a16:creationId xmlns:a16="http://schemas.microsoft.com/office/drawing/2014/main" id="{C3B8F683-1637-46C2-B1F2-16C45FBF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53" name="Picture 152" descr="http://www.abs.gov.au/icons/ecblank.gif">
          <a:extLst>
            <a:ext uri="{FF2B5EF4-FFF2-40B4-BE49-F238E27FC236}">
              <a16:creationId xmlns:a16="http://schemas.microsoft.com/office/drawing/2014/main" id="{5C94112E-667A-4AAE-833C-2B7B3A8D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54" name="Picture 153" descr="http://www.abs.gov.au/icons/ecblank.gif">
          <a:extLst>
            <a:ext uri="{FF2B5EF4-FFF2-40B4-BE49-F238E27FC236}">
              <a16:creationId xmlns:a16="http://schemas.microsoft.com/office/drawing/2014/main" id="{621F1D14-8D89-4BA7-9833-423051FC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55" name="Picture 154" descr="http://www.abs.gov.au/icons/ecblank.gif">
          <a:extLst>
            <a:ext uri="{FF2B5EF4-FFF2-40B4-BE49-F238E27FC236}">
              <a16:creationId xmlns:a16="http://schemas.microsoft.com/office/drawing/2014/main" id="{D844F474-1A0D-4B2F-8AAC-A90E0A9C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56" name="Picture 155" descr="http://www.abs.gov.au/icons/ecblank.gif">
          <a:extLst>
            <a:ext uri="{FF2B5EF4-FFF2-40B4-BE49-F238E27FC236}">
              <a16:creationId xmlns:a16="http://schemas.microsoft.com/office/drawing/2014/main" id="{32807F11-19BB-4FD1-AB61-FAB45291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57" name="Picture 156" descr="http://www.abs.gov.au/icons/ecblank.gif">
          <a:extLst>
            <a:ext uri="{FF2B5EF4-FFF2-40B4-BE49-F238E27FC236}">
              <a16:creationId xmlns:a16="http://schemas.microsoft.com/office/drawing/2014/main" id="{E551F69B-88FA-406B-BBCB-B3D65239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58" name="Picture 157" descr="http://www.abs.gov.au/icons/ecblank.gif">
          <a:extLst>
            <a:ext uri="{FF2B5EF4-FFF2-40B4-BE49-F238E27FC236}">
              <a16:creationId xmlns:a16="http://schemas.microsoft.com/office/drawing/2014/main" id="{10185E28-CE90-4655-85E1-5A06F330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59" name="Picture 158" descr="http://www.abs.gov.au/icons/ecblank.gif">
          <a:extLst>
            <a:ext uri="{FF2B5EF4-FFF2-40B4-BE49-F238E27FC236}">
              <a16:creationId xmlns:a16="http://schemas.microsoft.com/office/drawing/2014/main" id="{C7B0988C-19A6-4EAC-BCD6-235149EA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9525</xdr:rowOff>
    </xdr:to>
    <xdr:pic>
      <xdr:nvPicPr>
        <xdr:cNvPr id="160" name="Picture 159" descr="http://www.abs.gov.au/icons/ecblank.gif">
          <a:extLst>
            <a:ext uri="{FF2B5EF4-FFF2-40B4-BE49-F238E27FC236}">
              <a16:creationId xmlns:a16="http://schemas.microsoft.com/office/drawing/2014/main" id="{CFEF584D-A937-4801-82FF-15B86637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9525</xdr:rowOff>
    </xdr:to>
    <xdr:pic>
      <xdr:nvPicPr>
        <xdr:cNvPr id="161" name="Picture 160" descr="http://www.abs.gov.au/icons/ecblank.gif">
          <a:extLst>
            <a:ext uri="{FF2B5EF4-FFF2-40B4-BE49-F238E27FC236}">
              <a16:creationId xmlns:a16="http://schemas.microsoft.com/office/drawing/2014/main" id="{7538C8C3-6D11-408C-A620-B9E5F53B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9525</xdr:rowOff>
    </xdr:to>
    <xdr:pic>
      <xdr:nvPicPr>
        <xdr:cNvPr id="162" name="Picture 161" descr="http://www.abs.gov.au/icons/ecblank.gif">
          <a:extLst>
            <a:ext uri="{FF2B5EF4-FFF2-40B4-BE49-F238E27FC236}">
              <a16:creationId xmlns:a16="http://schemas.microsoft.com/office/drawing/2014/main" id="{9C97C6DB-5A8F-48B4-847C-225CE192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9525</xdr:rowOff>
    </xdr:to>
    <xdr:pic>
      <xdr:nvPicPr>
        <xdr:cNvPr id="163" name="Picture 162" descr="http://www.abs.gov.au/icons/ecblank.gif">
          <a:extLst>
            <a:ext uri="{FF2B5EF4-FFF2-40B4-BE49-F238E27FC236}">
              <a16:creationId xmlns:a16="http://schemas.microsoft.com/office/drawing/2014/main" id="{8FC9C5AF-F328-4917-94E1-1168C9CB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5310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64" name="Picture 108" descr="http://www.abs.gov.au/icons/ecblank.gif">
          <a:extLst>
            <a:ext uri="{FF2B5EF4-FFF2-40B4-BE49-F238E27FC236}">
              <a16:creationId xmlns:a16="http://schemas.microsoft.com/office/drawing/2014/main" id="{D341B1A5-5694-47CB-890D-940C53B9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65" name="Picture 109" descr="http://www.abs.gov.au/icons/ecblank.gif">
          <a:extLst>
            <a:ext uri="{FF2B5EF4-FFF2-40B4-BE49-F238E27FC236}">
              <a16:creationId xmlns:a16="http://schemas.microsoft.com/office/drawing/2014/main" id="{6A09F056-4714-468A-A080-A094D4D6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66" name="Picture 110" descr="http://www.abs.gov.au/icons/ecblank.gif">
          <a:extLst>
            <a:ext uri="{FF2B5EF4-FFF2-40B4-BE49-F238E27FC236}">
              <a16:creationId xmlns:a16="http://schemas.microsoft.com/office/drawing/2014/main" id="{95E95064-5CDD-420F-B788-65D98834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67" name="Picture 111" descr="http://www.abs.gov.au/icons/ecblank.gif">
          <a:extLst>
            <a:ext uri="{FF2B5EF4-FFF2-40B4-BE49-F238E27FC236}">
              <a16:creationId xmlns:a16="http://schemas.microsoft.com/office/drawing/2014/main" id="{A76283B0-08DB-437F-A5C0-C315C044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6245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168" name="Picture 167" descr="http://www.abs.gov.au/icons/ecblank.gif">
          <a:extLst>
            <a:ext uri="{FF2B5EF4-FFF2-40B4-BE49-F238E27FC236}">
              <a16:creationId xmlns:a16="http://schemas.microsoft.com/office/drawing/2014/main" id="{0BC1372F-7140-4FB6-B7F2-1A651EB3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169" name="Picture 168" descr="http://www.abs.gov.au/icons/ecblank.gif">
          <a:extLst>
            <a:ext uri="{FF2B5EF4-FFF2-40B4-BE49-F238E27FC236}">
              <a16:creationId xmlns:a16="http://schemas.microsoft.com/office/drawing/2014/main" id="{F5F2EDA4-5D9B-48AB-BDEC-AE9259B6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170" name="Picture 169" descr="http://www.abs.gov.au/icons/ecblank.gif">
          <a:extLst>
            <a:ext uri="{FF2B5EF4-FFF2-40B4-BE49-F238E27FC236}">
              <a16:creationId xmlns:a16="http://schemas.microsoft.com/office/drawing/2014/main" id="{443C0D20-3A0A-4719-89D0-E9264270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171" name="Picture 170" descr="http://www.abs.gov.au/icons/ecblank.gif">
          <a:extLst>
            <a:ext uri="{FF2B5EF4-FFF2-40B4-BE49-F238E27FC236}">
              <a16:creationId xmlns:a16="http://schemas.microsoft.com/office/drawing/2014/main" id="{3546BE43-B408-404D-9E5F-BC21CD3B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172" name="Picture 171" descr="http://www.abs.gov.au/icons/ecblank.gif">
          <a:extLst>
            <a:ext uri="{FF2B5EF4-FFF2-40B4-BE49-F238E27FC236}">
              <a16:creationId xmlns:a16="http://schemas.microsoft.com/office/drawing/2014/main" id="{A4333302-6A50-4A9A-B58C-80119EA8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173" name="Picture 172" descr="http://www.abs.gov.au/icons/ecblank.gif">
          <a:extLst>
            <a:ext uri="{FF2B5EF4-FFF2-40B4-BE49-F238E27FC236}">
              <a16:creationId xmlns:a16="http://schemas.microsoft.com/office/drawing/2014/main" id="{2A77D40C-86D2-42D7-A482-550E2D59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6116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174" name="Picture 173" descr="http://www.abs.gov.au/icons/ecblank.gif">
          <a:extLst>
            <a:ext uri="{FF2B5EF4-FFF2-40B4-BE49-F238E27FC236}">
              <a16:creationId xmlns:a16="http://schemas.microsoft.com/office/drawing/2014/main" id="{D030A253-225B-4D52-9BD1-03D16CE4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175" name="Picture 174" descr="http://www.abs.gov.au/icons/ecblank.gif">
          <a:extLst>
            <a:ext uri="{FF2B5EF4-FFF2-40B4-BE49-F238E27FC236}">
              <a16:creationId xmlns:a16="http://schemas.microsoft.com/office/drawing/2014/main" id="{F0F0AB06-F82D-4DE5-AD8B-06AEDD05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048500" y="19164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77</xdr:row>
      <xdr:rowOff>171450</xdr:rowOff>
    </xdr:from>
    <xdr:to>
      <xdr:col>6</xdr:col>
      <xdr:colOff>9525</xdr:colOff>
      <xdr:row>77</xdr:row>
      <xdr:rowOff>180975</xdr:rowOff>
    </xdr:to>
    <xdr:pic>
      <xdr:nvPicPr>
        <xdr:cNvPr id="176" name="Picture 175" descr="http://www.abs.gov.au/icons/ecblank.gif">
          <a:extLst>
            <a:ext uri="{FF2B5EF4-FFF2-40B4-BE49-F238E27FC236}">
              <a16:creationId xmlns:a16="http://schemas.microsoft.com/office/drawing/2014/main" id="{B864298B-B0C0-4849-A82F-33AEAEA44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71975" y="15716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77</xdr:row>
      <xdr:rowOff>171450</xdr:rowOff>
    </xdr:from>
    <xdr:to>
      <xdr:col>6</xdr:col>
      <xdr:colOff>9525</xdr:colOff>
      <xdr:row>77</xdr:row>
      <xdr:rowOff>180975</xdr:rowOff>
    </xdr:to>
    <xdr:pic>
      <xdr:nvPicPr>
        <xdr:cNvPr id="177" name="Picture 176" descr="http://www.abs.gov.au/icons/ecblank.gif">
          <a:extLst>
            <a:ext uri="{FF2B5EF4-FFF2-40B4-BE49-F238E27FC236}">
              <a16:creationId xmlns:a16="http://schemas.microsoft.com/office/drawing/2014/main" id="{EEAA06F0-C34C-4697-8E13-0BCAADA0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71975" y="15716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77</xdr:row>
      <xdr:rowOff>171450</xdr:rowOff>
    </xdr:from>
    <xdr:to>
      <xdr:col>6</xdr:col>
      <xdr:colOff>9525</xdr:colOff>
      <xdr:row>77</xdr:row>
      <xdr:rowOff>180975</xdr:rowOff>
    </xdr:to>
    <xdr:pic>
      <xdr:nvPicPr>
        <xdr:cNvPr id="178" name="Picture 177" descr="http://www.abs.gov.au/icons/ecblank.gif">
          <a:extLst>
            <a:ext uri="{FF2B5EF4-FFF2-40B4-BE49-F238E27FC236}">
              <a16:creationId xmlns:a16="http://schemas.microsoft.com/office/drawing/2014/main" id="{8422B406-A09D-465D-B5FC-39652874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71975" y="15716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77</xdr:row>
      <xdr:rowOff>171450</xdr:rowOff>
    </xdr:from>
    <xdr:to>
      <xdr:col>6</xdr:col>
      <xdr:colOff>9525</xdr:colOff>
      <xdr:row>77</xdr:row>
      <xdr:rowOff>180975</xdr:rowOff>
    </xdr:to>
    <xdr:pic>
      <xdr:nvPicPr>
        <xdr:cNvPr id="179" name="Picture 178" descr="http://www.abs.gov.au/icons/ecblank.gif">
          <a:extLst>
            <a:ext uri="{FF2B5EF4-FFF2-40B4-BE49-F238E27FC236}">
              <a16:creationId xmlns:a16="http://schemas.microsoft.com/office/drawing/2014/main" id="{4276C44C-47E2-418F-AF35-169D1A05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71975" y="15716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77</xdr:row>
      <xdr:rowOff>171450</xdr:rowOff>
    </xdr:from>
    <xdr:to>
      <xdr:col>6</xdr:col>
      <xdr:colOff>9525</xdr:colOff>
      <xdr:row>77</xdr:row>
      <xdr:rowOff>180975</xdr:rowOff>
    </xdr:to>
    <xdr:pic>
      <xdr:nvPicPr>
        <xdr:cNvPr id="180" name="Picture 179" descr="http://www.abs.gov.au/icons/ecblank.gif">
          <a:extLst>
            <a:ext uri="{FF2B5EF4-FFF2-40B4-BE49-F238E27FC236}">
              <a16:creationId xmlns:a16="http://schemas.microsoft.com/office/drawing/2014/main" id="{E0DB7ADD-218D-4ABC-ADAD-C9B1D73B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371975" y="15716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81" name="Picture 180" descr="http://www.abs.gov.au/icons/ecblank.gif">
          <a:extLst>
            <a:ext uri="{FF2B5EF4-FFF2-40B4-BE49-F238E27FC236}">
              <a16:creationId xmlns:a16="http://schemas.microsoft.com/office/drawing/2014/main" id="{43954295-4768-4985-A80B-1069D216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82" name="Picture 181" descr="http://www.abs.gov.au/icons/ecblank.gif">
          <a:extLst>
            <a:ext uri="{FF2B5EF4-FFF2-40B4-BE49-F238E27FC236}">
              <a16:creationId xmlns:a16="http://schemas.microsoft.com/office/drawing/2014/main" id="{761B5EED-9D7B-40B3-9A8C-F20DD379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83" name="Picture 182" descr="http://www.abs.gov.au/icons/ecblank.gif">
          <a:extLst>
            <a:ext uri="{FF2B5EF4-FFF2-40B4-BE49-F238E27FC236}">
              <a16:creationId xmlns:a16="http://schemas.microsoft.com/office/drawing/2014/main" id="{C8776E61-6D63-4546-B68E-FA324DA7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84" name="Picture 183" descr="http://www.abs.gov.au/icons/ecblank.gif">
          <a:extLst>
            <a:ext uri="{FF2B5EF4-FFF2-40B4-BE49-F238E27FC236}">
              <a16:creationId xmlns:a16="http://schemas.microsoft.com/office/drawing/2014/main" id="{5C7A0E20-5673-40F1-9AC0-32C3F117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85" name="Picture 184" descr="http://www.abs.gov.au/icons/ecblank.gif">
          <a:extLst>
            <a:ext uri="{FF2B5EF4-FFF2-40B4-BE49-F238E27FC236}">
              <a16:creationId xmlns:a16="http://schemas.microsoft.com/office/drawing/2014/main" id="{3E898149-C1AC-45E0-8E78-F432E4D41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86" name="Picture 185" descr="http://www.abs.gov.au/icons/ecblank.gif">
          <a:extLst>
            <a:ext uri="{FF2B5EF4-FFF2-40B4-BE49-F238E27FC236}">
              <a16:creationId xmlns:a16="http://schemas.microsoft.com/office/drawing/2014/main" id="{EA8B4FBE-B6B1-4FAE-ABFE-584CC8F0D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87" name="Picture 186" descr="http://www.abs.gov.au/icons/ecblank.gif">
          <a:extLst>
            <a:ext uri="{FF2B5EF4-FFF2-40B4-BE49-F238E27FC236}">
              <a16:creationId xmlns:a16="http://schemas.microsoft.com/office/drawing/2014/main" id="{47C2DA2B-891A-4DE2-8E1B-86F7F6181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88" name="Picture 187" descr="http://www.abs.gov.au/icons/ecblank.gif">
          <a:extLst>
            <a:ext uri="{FF2B5EF4-FFF2-40B4-BE49-F238E27FC236}">
              <a16:creationId xmlns:a16="http://schemas.microsoft.com/office/drawing/2014/main" id="{AD4CCA8A-09F6-443A-9801-CC250A10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189" name="Picture 188" descr="http://www.abs.gov.au/icons/ecblank.gif">
          <a:extLst>
            <a:ext uri="{FF2B5EF4-FFF2-40B4-BE49-F238E27FC236}">
              <a16:creationId xmlns:a16="http://schemas.microsoft.com/office/drawing/2014/main" id="{DC9EFF84-7888-4096-B2A8-49755C65B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21030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190" name="Picture 189" descr="http://www.abs.gov.au/icons/ecblank.gif">
          <a:extLst>
            <a:ext uri="{FF2B5EF4-FFF2-40B4-BE49-F238E27FC236}">
              <a16:creationId xmlns:a16="http://schemas.microsoft.com/office/drawing/2014/main" id="{21D079C0-1796-4E18-BD61-BE1A5F6CD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21030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191" name="Picture 190" descr="http://www.abs.gov.au/icons/ecblank.gif">
          <a:extLst>
            <a:ext uri="{FF2B5EF4-FFF2-40B4-BE49-F238E27FC236}">
              <a16:creationId xmlns:a16="http://schemas.microsoft.com/office/drawing/2014/main" id="{8B50A71A-AB80-4C5F-A16F-B92A53D5D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21030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192" name="Picture 191" descr="http://www.abs.gov.au/icons/ecblank.gif">
          <a:extLst>
            <a:ext uri="{FF2B5EF4-FFF2-40B4-BE49-F238E27FC236}">
              <a16:creationId xmlns:a16="http://schemas.microsoft.com/office/drawing/2014/main" id="{E7469641-6E9C-4530-8D84-6677F0D0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21030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93" name="Picture 108" descr="http://www.abs.gov.au/icons/ecblank.gif">
          <a:extLst>
            <a:ext uri="{FF2B5EF4-FFF2-40B4-BE49-F238E27FC236}">
              <a16:creationId xmlns:a16="http://schemas.microsoft.com/office/drawing/2014/main" id="{E2199E9D-A011-4B4B-AA3F-9A0969882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94" name="Picture 109" descr="http://www.abs.gov.au/icons/ecblank.gif">
          <a:extLst>
            <a:ext uri="{FF2B5EF4-FFF2-40B4-BE49-F238E27FC236}">
              <a16:creationId xmlns:a16="http://schemas.microsoft.com/office/drawing/2014/main" id="{68695AB5-DBF0-4886-87D3-8548B6C05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95" name="Picture 110" descr="http://www.abs.gov.au/icons/ecblank.gif">
          <a:extLst>
            <a:ext uri="{FF2B5EF4-FFF2-40B4-BE49-F238E27FC236}">
              <a16:creationId xmlns:a16="http://schemas.microsoft.com/office/drawing/2014/main" id="{96E04869-6CAA-43A6-8950-38034BEA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96" name="Picture 111" descr="http://www.abs.gov.au/icons/ecblank.gif">
          <a:extLst>
            <a:ext uri="{FF2B5EF4-FFF2-40B4-BE49-F238E27FC236}">
              <a16:creationId xmlns:a16="http://schemas.microsoft.com/office/drawing/2014/main" id="{31F5D142-7CA8-4AD6-BF99-9A02030B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97" name="Picture 196" descr="http://www.abs.gov.au/icons/ecblank.gif">
          <a:extLst>
            <a:ext uri="{FF2B5EF4-FFF2-40B4-BE49-F238E27FC236}">
              <a16:creationId xmlns:a16="http://schemas.microsoft.com/office/drawing/2014/main" id="{D0B1134D-040D-41E6-9C9C-281C82718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98" name="Picture 197" descr="http://www.abs.gov.au/icons/ecblank.gif">
          <a:extLst>
            <a:ext uri="{FF2B5EF4-FFF2-40B4-BE49-F238E27FC236}">
              <a16:creationId xmlns:a16="http://schemas.microsoft.com/office/drawing/2014/main" id="{DD9E6060-B811-4809-A326-44F0CD3A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99" name="Picture 198" descr="http://www.abs.gov.au/icons/ecblank.gif">
          <a:extLst>
            <a:ext uri="{FF2B5EF4-FFF2-40B4-BE49-F238E27FC236}">
              <a16:creationId xmlns:a16="http://schemas.microsoft.com/office/drawing/2014/main" id="{B2B819DD-17BB-4338-B82B-A7166F83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200" name="Picture 199" descr="http://www.abs.gov.au/icons/ecblank.gif">
          <a:extLst>
            <a:ext uri="{FF2B5EF4-FFF2-40B4-BE49-F238E27FC236}">
              <a16:creationId xmlns:a16="http://schemas.microsoft.com/office/drawing/2014/main" id="{A14DABA4-C855-4064-BB15-76EE85B8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201" name="Picture 200" descr="http://www.abs.gov.au/icons/ecblank.gif">
          <a:extLst>
            <a:ext uri="{FF2B5EF4-FFF2-40B4-BE49-F238E27FC236}">
              <a16:creationId xmlns:a16="http://schemas.microsoft.com/office/drawing/2014/main" id="{8AA1FD91-2F4A-4F5C-A136-B5B91046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202" name="Picture 201" descr="http://www.abs.gov.au/icons/ecblank.gif">
          <a:extLst>
            <a:ext uri="{FF2B5EF4-FFF2-40B4-BE49-F238E27FC236}">
              <a16:creationId xmlns:a16="http://schemas.microsoft.com/office/drawing/2014/main" id="{CAB185E4-985C-486D-9D83-F46C666FC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203" name="Picture 202" descr="http://www.abs.gov.au/icons/ecblank.gif">
          <a:extLst>
            <a:ext uri="{FF2B5EF4-FFF2-40B4-BE49-F238E27FC236}">
              <a16:creationId xmlns:a16="http://schemas.microsoft.com/office/drawing/2014/main" id="{60C1DB77-148C-416B-9470-C4D1DA75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204" name="Picture 203" descr="http://www.abs.gov.au/icons/ecblank.gif">
          <a:extLst>
            <a:ext uri="{FF2B5EF4-FFF2-40B4-BE49-F238E27FC236}">
              <a16:creationId xmlns:a16="http://schemas.microsoft.com/office/drawing/2014/main" id="{BDB6B63C-3BEB-4638-9914-3186A2FC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205" name="Picture 204" descr="http://www.abs.gov.au/icons/ecblank.gif">
          <a:extLst>
            <a:ext uri="{FF2B5EF4-FFF2-40B4-BE49-F238E27FC236}">
              <a16:creationId xmlns:a16="http://schemas.microsoft.com/office/drawing/2014/main" id="{865F4F5B-D8CE-4F8B-998E-D4C9F7E1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21030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206" name="Picture 205" descr="http://www.abs.gov.au/icons/ecblank.gif">
          <a:extLst>
            <a:ext uri="{FF2B5EF4-FFF2-40B4-BE49-F238E27FC236}">
              <a16:creationId xmlns:a16="http://schemas.microsoft.com/office/drawing/2014/main" id="{044E2126-52F8-4D0D-9855-0197D3EEB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21030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207" name="Picture 206" descr="http://www.abs.gov.au/icons/ecblank.gif">
          <a:extLst>
            <a:ext uri="{FF2B5EF4-FFF2-40B4-BE49-F238E27FC236}">
              <a16:creationId xmlns:a16="http://schemas.microsoft.com/office/drawing/2014/main" id="{90BC602D-A2CD-4FD7-82B5-B6645D93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21030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208" name="Picture 207" descr="http://www.abs.gov.au/icons/ecblank.gif">
          <a:extLst>
            <a:ext uri="{FF2B5EF4-FFF2-40B4-BE49-F238E27FC236}">
              <a16:creationId xmlns:a16="http://schemas.microsoft.com/office/drawing/2014/main" id="{B6C899EF-3E81-4AC4-A6BC-E521D41A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21030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209" name="Picture 108" descr="http://www.abs.gov.au/icons/ecblank.gif">
          <a:extLst>
            <a:ext uri="{FF2B5EF4-FFF2-40B4-BE49-F238E27FC236}">
              <a16:creationId xmlns:a16="http://schemas.microsoft.com/office/drawing/2014/main" id="{23D2A0F7-0C3D-48A7-8D62-3A4707D3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210" name="Picture 109" descr="http://www.abs.gov.au/icons/ecblank.gif">
          <a:extLst>
            <a:ext uri="{FF2B5EF4-FFF2-40B4-BE49-F238E27FC236}">
              <a16:creationId xmlns:a16="http://schemas.microsoft.com/office/drawing/2014/main" id="{A8E8D345-44DE-4219-9202-68A0F11E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211" name="Picture 110" descr="http://www.abs.gov.au/icons/ecblank.gif">
          <a:extLst>
            <a:ext uri="{FF2B5EF4-FFF2-40B4-BE49-F238E27FC236}">
              <a16:creationId xmlns:a16="http://schemas.microsoft.com/office/drawing/2014/main" id="{7CDBF2C3-ACC0-486C-AB02-5B3C1C51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212" name="Picture 111" descr="http://www.abs.gov.au/icons/ecblank.gif">
          <a:extLst>
            <a:ext uri="{FF2B5EF4-FFF2-40B4-BE49-F238E27FC236}">
              <a16:creationId xmlns:a16="http://schemas.microsoft.com/office/drawing/2014/main" id="{EA21CEFF-48FF-43C7-87ED-DAE55303A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958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213" name="Picture 212" descr="http://www.abs.gov.au/icons/ecblank.gif">
          <a:extLst>
            <a:ext uri="{FF2B5EF4-FFF2-40B4-BE49-F238E27FC236}">
              <a16:creationId xmlns:a16="http://schemas.microsoft.com/office/drawing/2014/main" id="{47A5C85E-F62B-49EC-BE5C-95560A55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437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214" name="Picture 213" descr="http://www.abs.gov.au/icons/ecblank.gif">
          <a:extLst>
            <a:ext uri="{FF2B5EF4-FFF2-40B4-BE49-F238E27FC236}">
              <a16:creationId xmlns:a16="http://schemas.microsoft.com/office/drawing/2014/main" id="{B686FD8B-7416-4A6B-9CC6-6233465E8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437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215" name="Picture 214" descr="http://www.abs.gov.au/icons/ecblank.gif">
          <a:extLst>
            <a:ext uri="{FF2B5EF4-FFF2-40B4-BE49-F238E27FC236}">
              <a16:creationId xmlns:a16="http://schemas.microsoft.com/office/drawing/2014/main" id="{4283E196-8F36-4F10-B36F-0B828DBF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437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216" name="Picture 215" descr="http://www.abs.gov.au/icons/ecblank.gif">
          <a:extLst>
            <a:ext uri="{FF2B5EF4-FFF2-40B4-BE49-F238E27FC236}">
              <a16:creationId xmlns:a16="http://schemas.microsoft.com/office/drawing/2014/main" id="{1FF53ED1-B445-41F8-B451-9D825131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437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217" name="Picture 216" descr="http://www.abs.gov.au/icons/ecblank.gif">
          <a:extLst>
            <a:ext uri="{FF2B5EF4-FFF2-40B4-BE49-F238E27FC236}">
              <a16:creationId xmlns:a16="http://schemas.microsoft.com/office/drawing/2014/main" id="{21B78EE4-F0E9-48F3-A647-DFFA16363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437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218" name="Picture 217" descr="http://www.abs.gov.au/icons/ecblank.gif">
          <a:extLst>
            <a:ext uri="{FF2B5EF4-FFF2-40B4-BE49-F238E27FC236}">
              <a16:creationId xmlns:a16="http://schemas.microsoft.com/office/drawing/2014/main" id="{1544D297-8DB3-4595-9D9A-EA2C8883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437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219" name="Picture 218" descr="http://www.abs.gov.au/icons/ecblank.gif">
          <a:extLst>
            <a:ext uri="{FF2B5EF4-FFF2-40B4-BE49-F238E27FC236}">
              <a16:creationId xmlns:a16="http://schemas.microsoft.com/office/drawing/2014/main" id="{19E6F5B3-3C99-4F84-956F-151F2CBD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437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220" name="Picture 219" descr="http://www.abs.gov.au/icons/ecblank.gif">
          <a:extLst>
            <a:ext uri="{FF2B5EF4-FFF2-40B4-BE49-F238E27FC236}">
              <a16:creationId xmlns:a16="http://schemas.microsoft.com/office/drawing/2014/main" id="{79A35581-660F-4623-A1B9-F964071F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437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221" name="Picture 220" descr="http://www.abs.gov.au/icons/ecblank.gif">
          <a:extLst>
            <a:ext uri="{FF2B5EF4-FFF2-40B4-BE49-F238E27FC236}">
              <a16:creationId xmlns:a16="http://schemas.microsoft.com/office/drawing/2014/main" id="{50FA65D2-C072-4E8B-AF06-E1B8D8E2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05375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222" name="Picture 221" descr="http://www.abs.gov.au/icons/ecblank.gif">
          <a:extLst>
            <a:ext uri="{FF2B5EF4-FFF2-40B4-BE49-F238E27FC236}">
              <a16:creationId xmlns:a16="http://schemas.microsoft.com/office/drawing/2014/main" id="{7D51FF65-3F59-44ED-A023-AB66CC7A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05375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223" name="Picture 222" descr="http://www.abs.gov.au/icons/ecblank.gif">
          <a:extLst>
            <a:ext uri="{FF2B5EF4-FFF2-40B4-BE49-F238E27FC236}">
              <a16:creationId xmlns:a16="http://schemas.microsoft.com/office/drawing/2014/main" id="{CBD44499-47C3-43CC-AF82-BBD331E5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05375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224" name="Picture 223" descr="http://www.abs.gov.au/icons/ecblank.gif">
          <a:extLst>
            <a:ext uri="{FF2B5EF4-FFF2-40B4-BE49-F238E27FC236}">
              <a16:creationId xmlns:a16="http://schemas.microsoft.com/office/drawing/2014/main" id="{70C75114-3EED-4003-A43B-699D8021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05375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225" name="Picture 224" descr="http://www.abs.gov.au/icons/ecblank.gif">
          <a:extLst>
            <a:ext uri="{FF2B5EF4-FFF2-40B4-BE49-F238E27FC236}">
              <a16:creationId xmlns:a16="http://schemas.microsoft.com/office/drawing/2014/main" id="{8D0D58E0-A43B-4C98-BBF4-BF221EE0A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05375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79</xdr:row>
      <xdr:rowOff>171450</xdr:rowOff>
    </xdr:from>
    <xdr:to>
      <xdr:col>7</xdr:col>
      <xdr:colOff>9525</xdr:colOff>
      <xdr:row>79</xdr:row>
      <xdr:rowOff>180975</xdr:rowOff>
    </xdr:to>
    <xdr:pic>
      <xdr:nvPicPr>
        <xdr:cNvPr id="226" name="Picture 225" descr="http://www.abs.gov.au/icons/ecblank.gif">
          <a:extLst>
            <a:ext uri="{FF2B5EF4-FFF2-40B4-BE49-F238E27FC236}">
              <a16:creationId xmlns:a16="http://schemas.microsoft.com/office/drawing/2014/main" id="{922F8C37-4292-4C0C-A025-E8649B11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38800" y="16011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227" name="Picture 226" descr="http://www.abs.gov.au/icons/ecblank.gif">
          <a:extLst>
            <a:ext uri="{FF2B5EF4-FFF2-40B4-BE49-F238E27FC236}">
              <a16:creationId xmlns:a16="http://schemas.microsoft.com/office/drawing/2014/main" id="{630DA4F0-90AC-4F3B-A5AE-33347643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228" name="Picture 227" descr="http://www.abs.gov.au/icons/ecblank.gif">
          <a:extLst>
            <a:ext uri="{FF2B5EF4-FFF2-40B4-BE49-F238E27FC236}">
              <a16:creationId xmlns:a16="http://schemas.microsoft.com/office/drawing/2014/main" id="{DA59DDDC-CDFB-48CB-9EB7-E4E45409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229" name="Picture 228" descr="http://www.abs.gov.au/icons/ecblank.gif">
          <a:extLst>
            <a:ext uri="{FF2B5EF4-FFF2-40B4-BE49-F238E27FC236}">
              <a16:creationId xmlns:a16="http://schemas.microsoft.com/office/drawing/2014/main" id="{8B767289-A73D-4DC5-9ED0-C4663FF3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230" name="Picture 229" descr="http://www.abs.gov.au/icons/ecblank.gif">
          <a:extLst>
            <a:ext uri="{FF2B5EF4-FFF2-40B4-BE49-F238E27FC236}">
              <a16:creationId xmlns:a16="http://schemas.microsoft.com/office/drawing/2014/main" id="{8D690082-F96F-424B-B367-B02BEDC2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231" name="Picture 230" descr="http://www.abs.gov.au/icons/ecblank.gif">
          <a:extLst>
            <a:ext uri="{FF2B5EF4-FFF2-40B4-BE49-F238E27FC236}">
              <a16:creationId xmlns:a16="http://schemas.microsoft.com/office/drawing/2014/main" id="{51245835-E8BF-44E8-81DC-1F86D6951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232" name="Picture 231" descr="http://www.abs.gov.au/icons/ecblank.gif">
          <a:extLst>
            <a:ext uri="{FF2B5EF4-FFF2-40B4-BE49-F238E27FC236}">
              <a16:creationId xmlns:a16="http://schemas.microsoft.com/office/drawing/2014/main" id="{1A62C4C8-B85B-405F-B4BD-52C146B0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233" name="Picture 232" descr="http://www.abs.gov.au/icons/ecblank.gif">
          <a:extLst>
            <a:ext uri="{FF2B5EF4-FFF2-40B4-BE49-F238E27FC236}">
              <a16:creationId xmlns:a16="http://schemas.microsoft.com/office/drawing/2014/main" id="{2C8913F8-F6A6-4B70-846C-9200F5A2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234" name="Picture 233" descr="http://www.abs.gov.au/icons/ecblank.gif">
          <a:extLst>
            <a:ext uri="{FF2B5EF4-FFF2-40B4-BE49-F238E27FC236}">
              <a16:creationId xmlns:a16="http://schemas.microsoft.com/office/drawing/2014/main" id="{C283C0B2-419C-46AF-8142-95CC6BC2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9525</xdr:rowOff>
    </xdr:to>
    <xdr:pic>
      <xdr:nvPicPr>
        <xdr:cNvPr id="235" name="Picture 234" descr="http://www.abs.gov.au/icons/ecblank.gif">
          <a:extLst>
            <a:ext uri="{FF2B5EF4-FFF2-40B4-BE49-F238E27FC236}">
              <a16:creationId xmlns:a16="http://schemas.microsoft.com/office/drawing/2014/main" id="{1BE32A5D-BD17-47F1-AE78-9626601A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6602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9525</xdr:rowOff>
    </xdr:to>
    <xdr:pic>
      <xdr:nvPicPr>
        <xdr:cNvPr id="236" name="Picture 235" descr="http://www.abs.gov.au/icons/ecblank.gif">
          <a:extLst>
            <a:ext uri="{FF2B5EF4-FFF2-40B4-BE49-F238E27FC236}">
              <a16:creationId xmlns:a16="http://schemas.microsoft.com/office/drawing/2014/main" id="{1B841456-B48D-4008-8F07-9865579B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6602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9525</xdr:rowOff>
    </xdr:to>
    <xdr:pic>
      <xdr:nvPicPr>
        <xdr:cNvPr id="237" name="Picture 236" descr="http://www.abs.gov.au/icons/ecblank.gif">
          <a:extLst>
            <a:ext uri="{FF2B5EF4-FFF2-40B4-BE49-F238E27FC236}">
              <a16:creationId xmlns:a16="http://schemas.microsoft.com/office/drawing/2014/main" id="{0313CBD6-E1C0-44CF-9F6F-AAD57A9EE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965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9525</xdr:rowOff>
    </xdr:to>
    <xdr:pic>
      <xdr:nvPicPr>
        <xdr:cNvPr id="238" name="Picture 237" descr="http://www.abs.gov.au/icons/ecblank.gif">
          <a:extLst>
            <a:ext uri="{FF2B5EF4-FFF2-40B4-BE49-F238E27FC236}">
              <a16:creationId xmlns:a16="http://schemas.microsoft.com/office/drawing/2014/main" id="{F9D28B36-7191-417A-822F-144E1AF7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965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239" name="Picture 108" descr="http://www.abs.gov.au/icons/ecblank.gif">
          <a:extLst>
            <a:ext uri="{FF2B5EF4-FFF2-40B4-BE49-F238E27FC236}">
              <a16:creationId xmlns:a16="http://schemas.microsoft.com/office/drawing/2014/main" id="{7EE8E7BB-4BE0-45AC-8651-456B9A783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240" name="Picture 109" descr="http://www.abs.gov.au/icons/ecblank.gif">
          <a:extLst>
            <a:ext uri="{FF2B5EF4-FFF2-40B4-BE49-F238E27FC236}">
              <a16:creationId xmlns:a16="http://schemas.microsoft.com/office/drawing/2014/main" id="{CB8714E6-D82F-4572-B3C4-DEEC5693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241" name="Picture 110" descr="http://www.abs.gov.au/icons/ecblank.gif">
          <a:extLst>
            <a:ext uri="{FF2B5EF4-FFF2-40B4-BE49-F238E27FC236}">
              <a16:creationId xmlns:a16="http://schemas.microsoft.com/office/drawing/2014/main" id="{DD71EDF7-8896-43B0-AFAB-E54E17A6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242" name="Picture 111" descr="http://www.abs.gov.au/icons/ecblank.gif">
          <a:extLst>
            <a:ext uri="{FF2B5EF4-FFF2-40B4-BE49-F238E27FC236}">
              <a16:creationId xmlns:a16="http://schemas.microsoft.com/office/drawing/2014/main" id="{2CD523F4-DEA3-4249-8FA0-827C0461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243" name="Picture 242" descr="http://www.abs.gov.au/icons/ecblank.gif">
          <a:extLst>
            <a:ext uri="{FF2B5EF4-FFF2-40B4-BE49-F238E27FC236}">
              <a16:creationId xmlns:a16="http://schemas.microsoft.com/office/drawing/2014/main" id="{211F85B9-24BC-417C-A493-104A21C10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244" name="Picture 243" descr="http://www.abs.gov.au/icons/ecblank.gif">
          <a:extLst>
            <a:ext uri="{FF2B5EF4-FFF2-40B4-BE49-F238E27FC236}">
              <a16:creationId xmlns:a16="http://schemas.microsoft.com/office/drawing/2014/main" id="{CE1E0D2A-ADE2-4050-A92D-60ECC775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245" name="Picture 244" descr="http://www.abs.gov.au/icons/ecblank.gif">
          <a:extLst>
            <a:ext uri="{FF2B5EF4-FFF2-40B4-BE49-F238E27FC236}">
              <a16:creationId xmlns:a16="http://schemas.microsoft.com/office/drawing/2014/main" id="{F6D773B3-7463-4395-A6A6-CCECF80E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246" name="Picture 245" descr="http://www.abs.gov.au/icons/ecblank.gif">
          <a:extLst>
            <a:ext uri="{FF2B5EF4-FFF2-40B4-BE49-F238E27FC236}">
              <a16:creationId xmlns:a16="http://schemas.microsoft.com/office/drawing/2014/main" id="{DEBBE296-616C-4F84-86F8-8117C9DFA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247" name="Picture 246" descr="http://www.abs.gov.au/icons/ecblank.gif">
          <a:extLst>
            <a:ext uri="{FF2B5EF4-FFF2-40B4-BE49-F238E27FC236}">
              <a16:creationId xmlns:a16="http://schemas.microsoft.com/office/drawing/2014/main" id="{0C0E138A-4420-451F-91D3-DD57AC76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248" name="Picture 247" descr="http://www.abs.gov.au/icons/ecblank.gif">
          <a:extLst>
            <a:ext uri="{FF2B5EF4-FFF2-40B4-BE49-F238E27FC236}">
              <a16:creationId xmlns:a16="http://schemas.microsoft.com/office/drawing/2014/main" id="{53CBB89A-047C-4D65-A07C-AFAB0D149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249" name="Picture 248" descr="http://www.abs.gov.au/icons/ecblank.gif">
          <a:extLst>
            <a:ext uri="{FF2B5EF4-FFF2-40B4-BE49-F238E27FC236}">
              <a16:creationId xmlns:a16="http://schemas.microsoft.com/office/drawing/2014/main" id="{6541563E-F452-4D17-827F-C53CC168E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250" name="Picture 249" descr="http://www.abs.gov.au/icons/ecblank.gif">
          <a:extLst>
            <a:ext uri="{FF2B5EF4-FFF2-40B4-BE49-F238E27FC236}">
              <a16:creationId xmlns:a16="http://schemas.microsoft.com/office/drawing/2014/main" id="{ACF16ECC-C54B-40FE-8EF3-14BA9659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251" name="Picture 250" descr="http://www.abs.gov.au/icons/ecblank.gif">
          <a:extLst>
            <a:ext uri="{FF2B5EF4-FFF2-40B4-BE49-F238E27FC236}">
              <a16:creationId xmlns:a16="http://schemas.microsoft.com/office/drawing/2014/main" id="{AFA71F0E-D2D9-47A2-8D37-D91FA550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252" name="Picture 251" descr="http://www.abs.gov.au/icons/ecblank.gif">
          <a:extLst>
            <a:ext uri="{FF2B5EF4-FFF2-40B4-BE49-F238E27FC236}">
              <a16:creationId xmlns:a16="http://schemas.microsoft.com/office/drawing/2014/main" id="{E52251D5-B20B-4BA3-A02B-F6C73A46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253" name="Picture 252" descr="http://www.abs.gov.au/icons/ecblank.gif">
          <a:extLst>
            <a:ext uri="{FF2B5EF4-FFF2-40B4-BE49-F238E27FC236}">
              <a16:creationId xmlns:a16="http://schemas.microsoft.com/office/drawing/2014/main" id="{1AB7B956-1B0A-4681-87AF-D78EEABB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254" name="Picture 253" descr="http://www.abs.gov.au/icons/ecblank.gif">
          <a:extLst>
            <a:ext uri="{FF2B5EF4-FFF2-40B4-BE49-F238E27FC236}">
              <a16:creationId xmlns:a16="http://schemas.microsoft.com/office/drawing/2014/main" id="{276EC9F0-59EE-4D11-AA98-AFC96ABF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255" name="Picture 108" descr="http://www.abs.gov.au/icons/ecblank.gif">
          <a:extLst>
            <a:ext uri="{FF2B5EF4-FFF2-40B4-BE49-F238E27FC236}">
              <a16:creationId xmlns:a16="http://schemas.microsoft.com/office/drawing/2014/main" id="{BD2A34C6-1932-40D7-9AB2-5E257CADB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256" name="Picture 109" descr="http://www.abs.gov.au/icons/ecblank.gif">
          <a:extLst>
            <a:ext uri="{FF2B5EF4-FFF2-40B4-BE49-F238E27FC236}">
              <a16:creationId xmlns:a16="http://schemas.microsoft.com/office/drawing/2014/main" id="{A9C29788-A629-4DA2-8AB3-4300F6D3D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257" name="Picture 110" descr="http://www.abs.gov.au/icons/ecblank.gif">
          <a:extLst>
            <a:ext uri="{FF2B5EF4-FFF2-40B4-BE49-F238E27FC236}">
              <a16:creationId xmlns:a16="http://schemas.microsoft.com/office/drawing/2014/main" id="{99124D8E-D233-4D13-80A8-4C706AC0E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258" name="Picture 111" descr="http://www.abs.gov.au/icons/ecblank.gif">
          <a:extLst>
            <a:ext uri="{FF2B5EF4-FFF2-40B4-BE49-F238E27FC236}">
              <a16:creationId xmlns:a16="http://schemas.microsoft.com/office/drawing/2014/main" id="{ACFCF496-0DBC-4EB4-B4FE-4FEF7F08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259" name="Picture 258" descr="http://www.abs.gov.au/icons/ecblank.gif">
          <a:extLst>
            <a:ext uri="{FF2B5EF4-FFF2-40B4-BE49-F238E27FC236}">
              <a16:creationId xmlns:a16="http://schemas.microsoft.com/office/drawing/2014/main" id="{2A8AD6B1-3D17-4257-B776-F9ED79B7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260" name="Picture 259" descr="http://www.abs.gov.au/icons/ecblank.gif">
          <a:extLst>
            <a:ext uri="{FF2B5EF4-FFF2-40B4-BE49-F238E27FC236}">
              <a16:creationId xmlns:a16="http://schemas.microsoft.com/office/drawing/2014/main" id="{8278A7CE-CE30-4F0F-9B83-7A8E8B97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261" name="Picture 260" descr="http://www.abs.gov.au/icons/ecblank.gif">
          <a:extLst>
            <a:ext uri="{FF2B5EF4-FFF2-40B4-BE49-F238E27FC236}">
              <a16:creationId xmlns:a16="http://schemas.microsoft.com/office/drawing/2014/main" id="{067BAD08-17B6-4459-BE8A-4ED72CA7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262" name="Picture 261" descr="http://www.abs.gov.au/icons/ecblank.gif">
          <a:extLst>
            <a:ext uri="{FF2B5EF4-FFF2-40B4-BE49-F238E27FC236}">
              <a16:creationId xmlns:a16="http://schemas.microsoft.com/office/drawing/2014/main" id="{26A0B2DF-BAC1-49B5-87AC-07649BDE1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263" name="Picture 262" descr="http://www.abs.gov.au/icons/ecblank.gif">
          <a:extLst>
            <a:ext uri="{FF2B5EF4-FFF2-40B4-BE49-F238E27FC236}">
              <a16:creationId xmlns:a16="http://schemas.microsoft.com/office/drawing/2014/main" id="{A06E0D53-42A9-4B9F-BB94-62A7DA72B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264" name="Picture 263" descr="http://www.abs.gov.au/icons/ecblank.gif">
          <a:extLst>
            <a:ext uri="{FF2B5EF4-FFF2-40B4-BE49-F238E27FC236}">
              <a16:creationId xmlns:a16="http://schemas.microsoft.com/office/drawing/2014/main" id="{77DCFB39-08DC-4F7D-A890-3DDD7A3D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265" name="Picture 264" descr="http://www.abs.gov.au/icons/ecblank.gif">
          <a:extLst>
            <a:ext uri="{FF2B5EF4-FFF2-40B4-BE49-F238E27FC236}">
              <a16:creationId xmlns:a16="http://schemas.microsoft.com/office/drawing/2014/main" id="{61419FB7-9D7C-473D-8A87-E8692A69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266" name="Picture 265" descr="http://www.abs.gov.au/icons/ecblank.gif">
          <a:extLst>
            <a:ext uri="{FF2B5EF4-FFF2-40B4-BE49-F238E27FC236}">
              <a16:creationId xmlns:a16="http://schemas.microsoft.com/office/drawing/2014/main" id="{3B680FFC-723C-4FE2-A148-9377C90F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267" name="Picture 266" descr="http://www.abs.gov.au/icons/ecblank.gif">
          <a:extLst>
            <a:ext uri="{FF2B5EF4-FFF2-40B4-BE49-F238E27FC236}">
              <a16:creationId xmlns:a16="http://schemas.microsoft.com/office/drawing/2014/main" id="{39944C08-DF4D-4B57-B18A-7565ABBB0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268" name="Picture 267" descr="http://www.abs.gov.au/icons/ecblank.gif">
          <a:extLst>
            <a:ext uri="{FF2B5EF4-FFF2-40B4-BE49-F238E27FC236}">
              <a16:creationId xmlns:a16="http://schemas.microsoft.com/office/drawing/2014/main" id="{A5846371-20C6-4149-9D7D-AD42A488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269" name="Picture 268" descr="http://www.abs.gov.au/icons/ecblank.gif">
          <a:extLst>
            <a:ext uri="{FF2B5EF4-FFF2-40B4-BE49-F238E27FC236}">
              <a16:creationId xmlns:a16="http://schemas.microsoft.com/office/drawing/2014/main" id="{97CFA5CA-0CFF-4053-B58D-86E0D3A8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270" name="Picture 269" descr="http://www.abs.gov.au/icons/ecblank.gif">
          <a:extLst>
            <a:ext uri="{FF2B5EF4-FFF2-40B4-BE49-F238E27FC236}">
              <a16:creationId xmlns:a16="http://schemas.microsoft.com/office/drawing/2014/main" id="{DA208A5E-F912-487A-A7E3-79F4627B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29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271" name="Picture 108" descr="http://www.abs.gov.au/icons/ecblank.gif">
          <a:extLst>
            <a:ext uri="{FF2B5EF4-FFF2-40B4-BE49-F238E27FC236}">
              <a16:creationId xmlns:a16="http://schemas.microsoft.com/office/drawing/2014/main" id="{D884FE54-64BC-4196-ACAD-35AAC1D12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272" name="Picture 109" descr="http://www.abs.gov.au/icons/ecblank.gif">
          <a:extLst>
            <a:ext uri="{FF2B5EF4-FFF2-40B4-BE49-F238E27FC236}">
              <a16:creationId xmlns:a16="http://schemas.microsoft.com/office/drawing/2014/main" id="{05CD1199-254B-462C-822C-B21F2AC1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273" name="Picture 110" descr="http://www.abs.gov.au/icons/ecblank.gif">
          <a:extLst>
            <a:ext uri="{FF2B5EF4-FFF2-40B4-BE49-F238E27FC236}">
              <a16:creationId xmlns:a16="http://schemas.microsoft.com/office/drawing/2014/main" id="{B3494285-B682-49D1-959F-CC5236A6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274" name="Picture 111" descr="http://www.abs.gov.au/icons/ecblank.gif">
          <a:extLst>
            <a:ext uri="{FF2B5EF4-FFF2-40B4-BE49-F238E27FC236}">
              <a16:creationId xmlns:a16="http://schemas.microsoft.com/office/drawing/2014/main" id="{48638125-4AAD-4A3A-B681-64FB6DD8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386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275" name="Picture 274" descr="http://www.abs.gov.au/icons/ecblank.gif">
          <a:extLst>
            <a:ext uri="{FF2B5EF4-FFF2-40B4-BE49-F238E27FC236}">
              <a16:creationId xmlns:a16="http://schemas.microsoft.com/office/drawing/2014/main" id="{7B9429FB-A11F-4C2F-A44A-92DA2B01E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276" name="Picture 275" descr="http://www.abs.gov.au/icons/ecblank.gif">
          <a:extLst>
            <a:ext uri="{FF2B5EF4-FFF2-40B4-BE49-F238E27FC236}">
              <a16:creationId xmlns:a16="http://schemas.microsoft.com/office/drawing/2014/main" id="{4BA1ABE1-0B23-43DB-9BAA-CE599EF3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277" name="Picture 276" descr="http://www.abs.gov.au/icons/ecblank.gif">
          <a:extLst>
            <a:ext uri="{FF2B5EF4-FFF2-40B4-BE49-F238E27FC236}">
              <a16:creationId xmlns:a16="http://schemas.microsoft.com/office/drawing/2014/main" id="{FB242C11-A9B0-4D69-889C-79F12BBDA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278" name="Picture 277" descr="http://www.abs.gov.au/icons/ecblank.gif">
          <a:extLst>
            <a:ext uri="{FF2B5EF4-FFF2-40B4-BE49-F238E27FC236}">
              <a16:creationId xmlns:a16="http://schemas.microsoft.com/office/drawing/2014/main" id="{839CDFE8-0F92-44DB-9768-74EB67C0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279" name="Picture 278" descr="http://www.abs.gov.au/icons/ecblank.gif">
          <a:extLst>
            <a:ext uri="{FF2B5EF4-FFF2-40B4-BE49-F238E27FC236}">
              <a16:creationId xmlns:a16="http://schemas.microsoft.com/office/drawing/2014/main" id="{7EF0F09C-78F3-4D53-8A8E-30EC2775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280" name="Picture 279" descr="http://www.abs.gov.au/icons/ecblank.gif">
          <a:extLst>
            <a:ext uri="{FF2B5EF4-FFF2-40B4-BE49-F238E27FC236}">
              <a16:creationId xmlns:a16="http://schemas.microsoft.com/office/drawing/2014/main" id="{259A3076-0A19-4766-937B-69C1C8F8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281" name="Picture 280" descr="http://www.abs.gov.au/icons/ecblank.gif">
          <a:extLst>
            <a:ext uri="{FF2B5EF4-FFF2-40B4-BE49-F238E27FC236}">
              <a16:creationId xmlns:a16="http://schemas.microsoft.com/office/drawing/2014/main" id="{645BA480-EC96-4C3E-927A-0879722B2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282" name="Picture 281" descr="http://www.abs.gov.au/icons/ecblank.gif">
          <a:extLst>
            <a:ext uri="{FF2B5EF4-FFF2-40B4-BE49-F238E27FC236}">
              <a16:creationId xmlns:a16="http://schemas.microsoft.com/office/drawing/2014/main" id="{C3C9D5D5-4D02-4F53-BB00-D8A20502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7246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283" name="Picture 282" descr="http://www.abs.gov.au/icons/ecblank.gif">
          <a:extLst>
            <a:ext uri="{FF2B5EF4-FFF2-40B4-BE49-F238E27FC236}">
              <a16:creationId xmlns:a16="http://schemas.microsoft.com/office/drawing/2014/main" id="{39982B0F-535E-45ED-B354-57C039BCC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48150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284" name="Picture 283" descr="http://www.abs.gov.au/icons/ecblank.gif">
          <a:extLst>
            <a:ext uri="{FF2B5EF4-FFF2-40B4-BE49-F238E27FC236}">
              <a16:creationId xmlns:a16="http://schemas.microsoft.com/office/drawing/2014/main" id="{1274DF5D-5F09-4B46-B1CF-260CC057C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48150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285" name="Picture 284" descr="http://www.abs.gov.au/icons/ecblank.gif">
          <a:extLst>
            <a:ext uri="{FF2B5EF4-FFF2-40B4-BE49-F238E27FC236}">
              <a16:creationId xmlns:a16="http://schemas.microsoft.com/office/drawing/2014/main" id="{F77E3B6C-F0D9-4D4F-8DCA-88B94AB2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48150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286" name="Picture 285" descr="http://www.abs.gov.au/icons/ecblank.gif">
          <a:extLst>
            <a:ext uri="{FF2B5EF4-FFF2-40B4-BE49-F238E27FC236}">
              <a16:creationId xmlns:a16="http://schemas.microsoft.com/office/drawing/2014/main" id="{822AB7D3-9A38-4412-BBDE-6EB71146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48150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287" name="Picture 286" descr="http://www.abs.gov.au/icons/ecblank.gif">
          <a:extLst>
            <a:ext uri="{FF2B5EF4-FFF2-40B4-BE49-F238E27FC236}">
              <a16:creationId xmlns:a16="http://schemas.microsoft.com/office/drawing/2014/main" id="{7EE3BA15-279B-45BD-BFD5-24A0C824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48150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9525</xdr:colOff>
      <xdr:row>80</xdr:row>
      <xdr:rowOff>9525</xdr:rowOff>
    </xdr:to>
    <xdr:pic>
      <xdr:nvPicPr>
        <xdr:cNvPr id="288" name="Picture 287" descr="http://www.abs.gov.au/icons/ecblank.gif">
          <a:extLst>
            <a:ext uri="{FF2B5EF4-FFF2-40B4-BE49-F238E27FC236}">
              <a16:creationId xmlns:a16="http://schemas.microsoft.com/office/drawing/2014/main" id="{B67FCFF5-3FDD-4263-A330-F5FDA160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01275" y="16030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9525</xdr:colOff>
      <xdr:row>80</xdr:row>
      <xdr:rowOff>9525</xdr:rowOff>
    </xdr:to>
    <xdr:pic>
      <xdr:nvPicPr>
        <xdr:cNvPr id="289" name="Picture 288" descr="http://www.abs.gov.au/icons/ecblank.gif">
          <a:extLst>
            <a:ext uri="{FF2B5EF4-FFF2-40B4-BE49-F238E27FC236}">
              <a16:creationId xmlns:a16="http://schemas.microsoft.com/office/drawing/2014/main" id="{068CDEA6-06CA-4C51-ACB7-8E86E19F6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01275" y="16030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9525</xdr:colOff>
      <xdr:row>96</xdr:row>
      <xdr:rowOff>9525</xdr:rowOff>
    </xdr:to>
    <xdr:pic>
      <xdr:nvPicPr>
        <xdr:cNvPr id="290" name="Picture 289" descr="http://www.abs.gov.au/icons/ecblank.gif">
          <a:extLst>
            <a:ext uri="{FF2B5EF4-FFF2-40B4-BE49-F238E27FC236}">
              <a16:creationId xmlns:a16="http://schemas.microsoft.com/office/drawing/2014/main" id="{CE221FC6-4229-423F-8ECC-F22FF306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01275" y="19078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9525</xdr:colOff>
      <xdr:row>96</xdr:row>
      <xdr:rowOff>9525</xdr:rowOff>
    </xdr:to>
    <xdr:pic>
      <xdr:nvPicPr>
        <xdr:cNvPr id="291" name="Picture 290" descr="http://www.abs.gov.au/icons/ecblank.gif">
          <a:extLst>
            <a:ext uri="{FF2B5EF4-FFF2-40B4-BE49-F238E27FC236}">
              <a16:creationId xmlns:a16="http://schemas.microsoft.com/office/drawing/2014/main" id="{9D10F5E7-2F8C-457A-BEE2-0972C7E0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01275" y="19078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292" name="Picture 291" descr="http://www.abs.gov.au/icons/ecblank.gif">
          <a:extLst>
            <a:ext uri="{FF2B5EF4-FFF2-40B4-BE49-F238E27FC236}">
              <a16:creationId xmlns:a16="http://schemas.microsoft.com/office/drawing/2014/main" id="{1D29F354-F24E-487E-A430-7AEC56B93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293" name="Picture 292" descr="http://www.abs.gov.au/icons/ecblank.gif">
          <a:extLst>
            <a:ext uri="{FF2B5EF4-FFF2-40B4-BE49-F238E27FC236}">
              <a16:creationId xmlns:a16="http://schemas.microsoft.com/office/drawing/2014/main" id="{F4741566-ABA3-436F-9975-15C22600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294" name="Picture 293" descr="http://www.abs.gov.au/icons/ecblank.gif">
          <a:extLst>
            <a:ext uri="{FF2B5EF4-FFF2-40B4-BE49-F238E27FC236}">
              <a16:creationId xmlns:a16="http://schemas.microsoft.com/office/drawing/2014/main" id="{7E95841D-0510-4B7B-B1AD-AD0BB05B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295" name="Picture 294" descr="http://www.abs.gov.au/icons/ecblank.gif">
          <a:extLst>
            <a:ext uri="{FF2B5EF4-FFF2-40B4-BE49-F238E27FC236}">
              <a16:creationId xmlns:a16="http://schemas.microsoft.com/office/drawing/2014/main" id="{37A7206E-BF1E-4A3B-A38B-31D457BD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296" name="Picture 295" descr="http://www.abs.gov.au/icons/ecblank.gif">
          <a:extLst>
            <a:ext uri="{FF2B5EF4-FFF2-40B4-BE49-F238E27FC236}">
              <a16:creationId xmlns:a16="http://schemas.microsoft.com/office/drawing/2014/main" id="{14799131-585B-403A-AF88-AAC4D59E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297" name="Picture 296" descr="http://www.abs.gov.au/icons/ecblank.gif">
          <a:extLst>
            <a:ext uri="{FF2B5EF4-FFF2-40B4-BE49-F238E27FC236}">
              <a16:creationId xmlns:a16="http://schemas.microsoft.com/office/drawing/2014/main" id="{3B5CD730-331E-46AE-8029-AC7AA7A2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298" name="Picture 297" descr="http://www.abs.gov.au/icons/ecblank.gif">
          <a:extLst>
            <a:ext uri="{FF2B5EF4-FFF2-40B4-BE49-F238E27FC236}">
              <a16:creationId xmlns:a16="http://schemas.microsoft.com/office/drawing/2014/main" id="{461A6ECC-D183-43AB-AB38-4771052C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299" name="Picture 298" descr="http://www.abs.gov.au/icons/ecblank.gif">
          <a:extLst>
            <a:ext uri="{FF2B5EF4-FFF2-40B4-BE49-F238E27FC236}">
              <a16:creationId xmlns:a16="http://schemas.microsoft.com/office/drawing/2014/main" id="{7F379BFE-C656-4683-A314-23AB0B4B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300" name="Picture 299" descr="http://www.abs.gov.au/icons/ecblank.gif">
          <a:extLst>
            <a:ext uri="{FF2B5EF4-FFF2-40B4-BE49-F238E27FC236}">
              <a16:creationId xmlns:a16="http://schemas.microsoft.com/office/drawing/2014/main" id="{B51826DB-DB03-4FCD-8BD1-FBF8FA25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301" name="Picture 300" descr="http://www.abs.gov.au/icons/ecblank.gif">
          <a:extLst>
            <a:ext uri="{FF2B5EF4-FFF2-40B4-BE49-F238E27FC236}">
              <a16:creationId xmlns:a16="http://schemas.microsoft.com/office/drawing/2014/main" id="{603CC885-6A99-4F35-9FD5-D143C9D7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302" name="Picture 301" descr="http://www.abs.gov.au/icons/ecblank.gif">
          <a:extLst>
            <a:ext uri="{FF2B5EF4-FFF2-40B4-BE49-F238E27FC236}">
              <a16:creationId xmlns:a16="http://schemas.microsoft.com/office/drawing/2014/main" id="{E01FE182-5D1B-4C89-8D3B-7F70BC969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303" name="Picture 302" descr="http://www.abs.gov.au/icons/ecblank.gif">
          <a:extLst>
            <a:ext uri="{FF2B5EF4-FFF2-40B4-BE49-F238E27FC236}">
              <a16:creationId xmlns:a16="http://schemas.microsoft.com/office/drawing/2014/main" id="{F2DFE9FE-7467-46EA-A8B0-B146CCE2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304" name="Picture 303" descr="http://www.abs.gov.au/icons/ecblank.gif">
          <a:extLst>
            <a:ext uri="{FF2B5EF4-FFF2-40B4-BE49-F238E27FC236}">
              <a16:creationId xmlns:a16="http://schemas.microsoft.com/office/drawing/2014/main" id="{CE5D5A80-D107-4B12-9A7D-400E2AB69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305" name="Picture 304" descr="http://www.abs.gov.au/icons/ecblank.gif">
          <a:extLst>
            <a:ext uri="{FF2B5EF4-FFF2-40B4-BE49-F238E27FC236}">
              <a16:creationId xmlns:a16="http://schemas.microsoft.com/office/drawing/2014/main" id="{5D504B34-ECE1-4032-B7C4-F5B7DC84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306" name="Picture 305" descr="http://www.abs.gov.au/icons/ecblank.gif">
          <a:extLst>
            <a:ext uri="{FF2B5EF4-FFF2-40B4-BE49-F238E27FC236}">
              <a16:creationId xmlns:a16="http://schemas.microsoft.com/office/drawing/2014/main" id="{BB2A456E-01C4-415C-821D-ABD53D76A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307" name="Picture 306" descr="http://www.abs.gov.au/icons/ecblank.gif">
          <a:extLst>
            <a:ext uri="{FF2B5EF4-FFF2-40B4-BE49-F238E27FC236}">
              <a16:creationId xmlns:a16="http://schemas.microsoft.com/office/drawing/2014/main" id="{0BE6183D-3BD8-40B0-85CA-77142CD1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308" name="Picture 307" descr="http://www.abs.gov.au/icons/ecblank.gif">
          <a:extLst>
            <a:ext uri="{FF2B5EF4-FFF2-40B4-BE49-F238E27FC236}">
              <a16:creationId xmlns:a16="http://schemas.microsoft.com/office/drawing/2014/main" id="{D9AB2376-5F3C-4E2D-BEC1-BF951046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309" name="Picture 308" descr="http://www.abs.gov.au/icons/ecblank.gif">
          <a:extLst>
            <a:ext uri="{FF2B5EF4-FFF2-40B4-BE49-F238E27FC236}">
              <a16:creationId xmlns:a16="http://schemas.microsoft.com/office/drawing/2014/main" id="{62602DDE-6AB1-4867-9723-D5A904F0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310" name="Picture 309" descr="http://www.abs.gov.au/icons/ecblank.gif">
          <a:extLst>
            <a:ext uri="{FF2B5EF4-FFF2-40B4-BE49-F238E27FC236}">
              <a16:creationId xmlns:a16="http://schemas.microsoft.com/office/drawing/2014/main" id="{4E8B1DA2-18E1-404A-9778-A9E65965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311" name="Picture 310" descr="http://www.abs.gov.au/icons/ecblank.gif">
          <a:extLst>
            <a:ext uri="{FF2B5EF4-FFF2-40B4-BE49-F238E27FC236}">
              <a16:creationId xmlns:a16="http://schemas.microsoft.com/office/drawing/2014/main" id="{94DA5EFA-633F-4DE4-BE0F-A4017DA67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312" name="Picture 311" descr="http://www.abs.gov.au/icons/ecblank.gif">
          <a:extLst>
            <a:ext uri="{FF2B5EF4-FFF2-40B4-BE49-F238E27FC236}">
              <a16:creationId xmlns:a16="http://schemas.microsoft.com/office/drawing/2014/main" id="{57E6B05D-8806-40A2-B133-CD346B29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313" name="Picture 312" descr="http://www.abs.gov.au/icons/ecblank.gif">
          <a:extLst>
            <a:ext uri="{FF2B5EF4-FFF2-40B4-BE49-F238E27FC236}">
              <a16:creationId xmlns:a16="http://schemas.microsoft.com/office/drawing/2014/main" id="{A6F639C8-994C-4266-8AA0-3091DD06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314" name="Picture 313" descr="http://www.abs.gov.au/icons/ecblank.gif">
          <a:extLst>
            <a:ext uri="{FF2B5EF4-FFF2-40B4-BE49-F238E27FC236}">
              <a16:creationId xmlns:a16="http://schemas.microsoft.com/office/drawing/2014/main" id="{F01246D2-CB48-4270-AF83-EACF1365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315" name="Picture 314" descr="http://www.abs.gov.au/icons/ecblank.gif">
          <a:extLst>
            <a:ext uri="{FF2B5EF4-FFF2-40B4-BE49-F238E27FC236}">
              <a16:creationId xmlns:a16="http://schemas.microsoft.com/office/drawing/2014/main" id="{3A8DFFBD-0B7B-4DE8-A415-4F8F46C3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316" name="Picture 108" descr="http://www.abs.gov.au/icons/ecblank.gif">
          <a:extLst>
            <a:ext uri="{FF2B5EF4-FFF2-40B4-BE49-F238E27FC236}">
              <a16:creationId xmlns:a16="http://schemas.microsoft.com/office/drawing/2014/main" id="{4FF61A08-C1CF-47AD-ABAD-E8196CDB5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317" name="Picture 109" descr="http://www.abs.gov.au/icons/ecblank.gif">
          <a:extLst>
            <a:ext uri="{FF2B5EF4-FFF2-40B4-BE49-F238E27FC236}">
              <a16:creationId xmlns:a16="http://schemas.microsoft.com/office/drawing/2014/main" id="{E57FB058-3B9B-4661-9971-0D49C68E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318" name="Picture 110" descr="http://www.abs.gov.au/icons/ecblank.gif">
          <a:extLst>
            <a:ext uri="{FF2B5EF4-FFF2-40B4-BE49-F238E27FC236}">
              <a16:creationId xmlns:a16="http://schemas.microsoft.com/office/drawing/2014/main" id="{9D4BC7A9-2C7B-40E3-83B5-2E13B43C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319" name="Picture 111" descr="http://www.abs.gov.au/icons/ecblank.gif">
          <a:extLst>
            <a:ext uri="{FF2B5EF4-FFF2-40B4-BE49-F238E27FC236}">
              <a16:creationId xmlns:a16="http://schemas.microsoft.com/office/drawing/2014/main" id="{E5C11D11-7593-42CC-9B14-00A63163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320" name="Picture 319" descr="http://www.abs.gov.au/icons/ecblank.gif">
          <a:extLst>
            <a:ext uri="{FF2B5EF4-FFF2-40B4-BE49-F238E27FC236}">
              <a16:creationId xmlns:a16="http://schemas.microsoft.com/office/drawing/2014/main" id="{7D976E88-1D2D-4FB6-A5A9-5220A471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321" name="Picture 320" descr="http://www.abs.gov.au/icons/ecblank.gif">
          <a:extLst>
            <a:ext uri="{FF2B5EF4-FFF2-40B4-BE49-F238E27FC236}">
              <a16:creationId xmlns:a16="http://schemas.microsoft.com/office/drawing/2014/main" id="{69C55D86-1669-4DAE-97C5-65A68649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322" name="Picture 321" descr="http://www.abs.gov.au/icons/ecblank.gif">
          <a:extLst>
            <a:ext uri="{FF2B5EF4-FFF2-40B4-BE49-F238E27FC236}">
              <a16:creationId xmlns:a16="http://schemas.microsoft.com/office/drawing/2014/main" id="{9E2AF87C-2992-4E1D-B3F5-B3A9BCF7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323" name="Picture 322" descr="http://www.abs.gov.au/icons/ecblank.gif">
          <a:extLst>
            <a:ext uri="{FF2B5EF4-FFF2-40B4-BE49-F238E27FC236}">
              <a16:creationId xmlns:a16="http://schemas.microsoft.com/office/drawing/2014/main" id="{A3AC1FDD-7C9A-4C77-9C6F-13C38B016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324" name="Picture 323" descr="http://www.abs.gov.au/icons/ecblank.gif">
          <a:extLst>
            <a:ext uri="{FF2B5EF4-FFF2-40B4-BE49-F238E27FC236}">
              <a16:creationId xmlns:a16="http://schemas.microsoft.com/office/drawing/2014/main" id="{89B49240-8DEF-43A0-8B87-3D118F82A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325" name="Picture 324" descr="http://www.abs.gov.au/icons/ecblank.gif">
          <a:extLst>
            <a:ext uri="{FF2B5EF4-FFF2-40B4-BE49-F238E27FC236}">
              <a16:creationId xmlns:a16="http://schemas.microsoft.com/office/drawing/2014/main" id="{30D0A1EB-CC1C-4D78-B4AE-F985EB08A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326" name="Picture 325" descr="http://www.abs.gov.au/icons/ecblank.gif">
          <a:extLst>
            <a:ext uri="{FF2B5EF4-FFF2-40B4-BE49-F238E27FC236}">
              <a16:creationId xmlns:a16="http://schemas.microsoft.com/office/drawing/2014/main" id="{B89D1828-E902-4164-BBA8-FC96365FA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327" name="Picture 326" descr="http://www.abs.gov.au/icons/ecblank.gif">
          <a:extLst>
            <a:ext uri="{FF2B5EF4-FFF2-40B4-BE49-F238E27FC236}">
              <a16:creationId xmlns:a16="http://schemas.microsoft.com/office/drawing/2014/main" id="{3C15D33A-9169-4E01-97AB-EE16035AE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328" name="Picture 108" descr="http://www.abs.gov.au/icons/ecblank.gif">
          <a:extLst>
            <a:ext uri="{FF2B5EF4-FFF2-40B4-BE49-F238E27FC236}">
              <a16:creationId xmlns:a16="http://schemas.microsoft.com/office/drawing/2014/main" id="{7CA41EC4-CB25-4995-A544-8C8F306A2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329" name="Picture 109" descr="http://www.abs.gov.au/icons/ecblank.gif">
          <a:extLst>
            <a:ext uri="{FF2B5EF4-FFF2-40B4-BE49-F238E27FC236}">
              <a16:creationId xmlns:a16="http://schemas.microsoft.com/office/drawing/2014/main" id="{8AD6DF34-824A-4A99-898D-C0287766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330" name="Picture 110" descr="http://www.abs.gov.au/icons/ecblank.gif">
          <a:extLst>
            <a:ext uri="{FF2B5EF4-FFF2-40B4-BE49-F238E27FC236}">
              <a16:creationId xmlns:a16="http://schemas.microsoft.com/office/drawing/2014/main" id="{FD67AD08-109B-4D13-8B99-9EB7A8AA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331" name="Picture 111" descr="http://www.abs.gov.au/icons/ecblank.gif">
          <a:extLst>
            <a:ext uri="{FF2B5EF4-FFF2-40B4-BE49-F238E27FC236}">
              <a16:creationId xmlns:a16="http://schemas.microsoft.com/office/drawing/2014/main" id="{2A3526F7-E6B7-4053-A982-39642A1F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332" name="Picture 331" descr="http://www.abs.gov.au/icons/ecblank.gif">
          <a:extLst>
            <a:ext uri="{FF2B5EF4-FFF2-40B4-BE49-F238E27FC236}">
              <a16:creationId xmlns:a16="http://schemas.microsoft.com/office/drawing/2014/main" id="{7458AED7-9F2D-429A-9875-53638F4D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333" name="Picture 332" descr="http://www.abs.gov.au/icons/ecblank.gif">
          <a:extLst>
            <a:ext uri="{FF2B5EF4-FFF2-40B4-BE49-F238E27FC236}">
              <a16:creationId xmlns:a16="http://schemas.microsoft.com/office/drawing/2014/main" id="{B1E9FAE8-49A9-44F1-B54E-FF433ED5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334" name="Picture 333" descr="http://www.abs.gov.au/icons/ecblank.gif">
          <a:extLst>
            <a:ext uri="{FF2B5EF4-FFF2-40B4-BE49-F238E27FC236}">
              <a16:creationId xmlns:a16="http://schemas.microsoft.com/office/drawing/2014/main" id="{6771D836-2904-464E-95C0-F6E532FD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335" name="Picture 334" descr="http://www.abs.gov.au/icons/ecblank.gif">
          <a:extLst>
            <a:ext uri="{FF2B5EF4-FFF2-40B4-BE49-F238E27FC236}">
              <a16:creationId xmlns:a16="http://schemas.microsoft.com/office/drawing/2014/main" id="{278533AA-E1CA-43E7-8C35-6F8DAF4F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336" name="Picture 335" descr="http://www.abs.gov.au/icons/ecblank.gif">
          <a:extLst>
            <a:ext uri="{FF2B5EF4-FFF2-40B4-BE49-F238E27FC236}">
              <a16:creationId xmlns:a16="http://schemas.microsoft.com/office/drawing/2014/main" id="{CD423AAB-C90D-4A43-B13E-F4A72F128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337" name="Picture 336" descr="http://www.abs.gov.au/icons/ecblank.gif">
          <a:extLst>
            <a:ext uri="{FF2B5EF4-FFF2-40B4-BE49-F238E27FC236}">
              <a16:creationId xmlns:a16="http://schemas.microsoft.com/office/drawing/2014/main" id="{DBD8B466-C66C-4931-8FAF-B7C5478C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338" name="Picture 337" descr="http://www.abs.gov.au/icons/ecblank.gif">
          <a:extLst>
            <a:ext uri="{FF2B5EF4-FFF2-40B4-BE49-F238E27FC236}">
              <a16:creationId xmlns:a16="http://schemas.microsoft.com/office/drawing/2014/main" id="{133B4F93-D018-4259-8B22-E1050CA3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339" name="Picture 338" descr="http://www.abs.gov.au/icons/ecblank.gif">
          <a:extLst>
            <a:ext uri="{FF2B5EF4-FFF2-40B4-BE49-F238E27FC236}">
              <a16:creationId xmlns:a16="http://schemas.microsoft.com/office/drawing/2014/main" id="{7F34CBE4-36E0-4E41-890A-39C281D3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340" name="Picture 339" descr="http://www.abs.gov.au/icons/ecblank.gif">
          <a:extLst>
            <a:ext uri="{FF2B5EF4-FFF2-40B4-BE49-F238E27FC236}">
              <a16:creationId xmlns:a16="http://schemas.microsoft.com/office/drawing/2014/main" id="{34B799AF-3D9A-4A78-AAC0-D63D04F6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43890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341" name="Picture 340" descr="http://www.abs.gov.au/icons/ecblank.gif">
          <a:extLst>
            <a:ext uri="{FF2B5EF4-FFF2-40B4-BE49-F238E27FC236}">
              <a16:creationId xmlns:a16="http://schemas.microsoft.com/office/drawing/2014/main" id="{9377C025-97BB-44A4-8D6A-8CE41269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43890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342" name="Picture 341" descr="http://www.abs.gov.au/icons/ecblank.gif">
          <a:extLst>
            <a:ext uri="{FF2B5EF4-FFF2-40B4-BE49-F238E27FC236}">
              <a16:creationId xmlns:a16="http://schemas.microsoft.com/office/drawing/2014/main" id="{C62F3B7B-1D23-4E39-A83D-AA05CDC7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43890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343" name="Picture 342" descr="http://www.abs.gov.au/icons/ecblank.gif">
          <a:extLst>
            <a:ext uri="{FF2B5EF4-FFF2-40B4-BE49-F238E27FC236}">
              <a16:creationId xmlns:a16="http://schemas.microsoft.com/office/drawing/2014/main" id="{B4AD6DB5-0031-4774-9363-68FB2201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43890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344" name="Picture 108" descr="http://www.abs.gov.au/icons/ecblank.gif">
          <a:extLst>
            <a:ext uri="{FF2B5EF4-FFF2-40B4-BE49-F238E27FC236}">
              <a16:creationId xmlns:a16="http://schemas.microsoft.com/office/drawing/2014/main" id="{8AC12E56-7578-4C2C-A774-5B713AA6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345" name="Picture 109" descr="http://www.abs.gov.au/icons/ecblank.gif">
          <a:extLst>
            <a:ext uri="{FF2B5EF4-FFF2-40B4-BE49-F238E27FC236}">
              <a16:creationId xmlns:a16="http://schemas.microsoft.com/office/drawing/2014/main" id="{745DAA09-62F3-44F8-ADE5-04B3837B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346" name="Picture 110" descr="http://www.abs.gov.au/icons/ecblank.gif">
          <a:extLst>
            <a:ext uri="{FF2B5EF4-FFF2-40B4-BE49-F238E27FC236}">
              <a16:creationId xmlns:a16="http://schemas.microsoft.com/office/drawing/2014/main" id="{9BBF387A-FA98-4854-BC2C-89BE7588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347" name="Picture 111" descr="http://www.abs.gov.au/icons/ecblank.gif">
          <a:extLst>
            <a:ext uri="{FF2B5EF4-FFF2-40B4-BE49-F238E27FC236}">
              <a16:creationId xmlns:a16="http://schemas.microsoft.com/office/drawing/2014/main" id="{D740742E-24DA-44DB-B171-23BE0775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348" name="Picture 347" descr="http://www.abs.gov.au/icons/ecblank.gif">
          <a:extLst>
            <a:ext uri="{FF2B5EF4-FFF2-40B4-BE49-F238E27FC236}">
              <a16:creationId xmlns:a16="http://schemas.microsoft.com/office/drawing/2014/main" id="{6079928F-6067-4690-9E5A-C79B11B6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349" name="Picture 348" descr="http://www.abs.gov.au/icons/ecblank.gif">
          <a:extLst>
            <a:ext uri="{FF2B5EF4-FFF2-40B4-BE49-F238E27FC236}">
              <a16:creationId xmlns:a16="http://schemas.microsoft.com/office/drawing/2014/main" id="{57227563-9D81-4528-ACF9-0BAC4CA1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350" name="Picture 349" descr="http://www.abs.gov.au/icons/ecblank.gif">
          <a:extLst>
            <a:ext uri="{FF2B5EF4-FFF2-40B4-BE49-F238E27FC236}">
              <a16:creationId xmlns:a16="http://schemas.microsoft.com/office/drawing/2014/main" id="{6F415B73-E420-4880-A85B-596C5BAF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351" name="Picture 350" descr="http://www.abs.gov.au/icons/ecblank.gif">
          <a:extLst>
            <a:ext uri="{FF2B5EF4-FFF2-40B4-BE49-F238E27FC236}">
              <a16:creationId xmlns:a16="http://schemas.microsoft.com/office/drawing/2014/main" id="{9B8239B7-59A3-467E-978D-50FC039C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352" name="Picture 351" descr="http://www.abs.gov.au/icons/ecblank.gif">
          <a:extLst>
            <a:ext uri="{FF2B5EF4-FFF2-40B4-BE49-F238E27FC236}">
              <a16:creationId xmlns:a16="http://schemas.microsoft.com/office/drawing/2014/main" id="{C664719E-286E-4186-8DCC-1BA9AC5A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353" name="Picture 352" descr="http://www.abs.gov.au/icons/ecblank.gif">
          <a:extLst>
            <a:ext uri="{FF2B5EF4-FFF2-40B4-BE49-F238E27FC236}">
              <a16:creationId xmlns:a16="http://schemas.microsoft.com/office/drawing/2014/main" id="{E98062D6-3840-4B9B-901F-FDBF2388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354" name="Picture 353" descr="http://www.abs.gov.au/icons/ecblank.gif">
          <a:extLst>
            <a:ext uri="{FF2B5EF4-FFF2-40B4-BE49-F238E27FC236}">
              <a16:creationId xmlns:a16="http://schemas.microsoft.com/office/drawing/2014/main" id="{2A9D4EAD-FF78-4FAF-94C1-2F3DEDA0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355" name="Picture 354" descr="http://www.abs.gov.au/icons/ecblank.gif">
          <a:extLst>
            <a:ext uri="{FF2B5EF4-FFF2-40B4-BE49-F238E27FC236}">
              <a16:creationId xmlns:a16="http://schemas.microsoft.com/office/drawing/2014/main" id="{CAA7ABD5-6775-442F-BD06-CA544599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356" name="Picture 355" descr="http://www.abs.gov.au/icons/ecblank.gif">
          <a:extLst>
            <a:ext uri="{FF2B5EF4-FFF2-40B4-BE49-F238E27FC236}">
              <a16:creationId xmlns:a16="http://schemas.microsoft.com/office/drawing/2014/main" id="{849BC7E6-757E-4C41-AD96-1C3825C3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43890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357" name="Picture 356" descr="http://www.abs.gov.au/icons/ecblank.gif">
          <a:extLst>
            <a:ext uri="{FF2B5EF4-FFF2-40B4-BE49-F238E27FC236}">
              <a16:creationId xmlns:a16="http://schemas.microsoft.com/office/drawing/2014/main" id="{12A75AF8-C52C-4B53-9359-747DF0BBF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43890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358" name="Picture 357" descr="http://www.abs.gov.au/icons/ecblank.gif">
          <a:extLst>
            <a:ext uri="{FF2B5EF4-FFF2-40B4-BE49-F238E27FC236}">
              <a16:creationId xmlns:a16="http://schemas.microsoft.com/office/drawing/2014/main" id="{0F369F5A-94E7-4897-B8CE-F9D54BE2C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43890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359" name="Picture 358" descr="http://www.abs.gov.au/icons/ecblank.gif">
          <a:extLst>
            <a:ext uri="{FF2B5EF4-FFF2-40B4-BE49-F238E27FC236}">
              <a16:creationId xmlns:a16="http://schemas.microsoft.com/office/drawing/2014/main" id="{5AED050A-4678-4E3E-B52F-7EEB7C272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43890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360" name="Picture 108" descr="http://www.abs.gov.au/icons/ecblank.gif">
          <a:extLst>
            <a:ext uri="{FF2B5EF4-FFF2-40B4-BE49-F238E27FC236}">
              <a16:creationId xmlns:a16="http://schemas.microsoft.com/office/drawing/2014/main" id="{FA82CEAF-12CB-4729-AB64-7E481041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361" name="Picture 109" descr="http://www.abs.gov.au/icons/ecblank.gif">
          <a:extLst>
            <a:ext uri="{FF2B5EF4-FFF2-40B4-BE49-F238E27FC236}">
              <a16:creationId xmlns:a16="http://schemas.microsoft.com/office/drawing/2014/main" id="{4CE53AF3-8218-4FD4-9F73-F13684C06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362" name="Picture 110" descr="http://www.abs.gov.au/icons/ecblank.gif">
          <a:extLst>
            <a:ext uri="{FF2B5EF4-FFF2-40B4-BE49-F238E27FC236}">
              <a16:creationId xmlns:a16="http://schemas.microsoft.com/office/drawing/2014/main" id="{4D3A190F-FD20-4ABE-AE73-E9A8C5A1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363" name="Picture 111" descr="http://www.abs.gov.au/icons/ecblank.gif">
          <a:extLst>
            <a:ext uri="{FF2B5EF4-FFF2-40B4-BE49-F238E27FC236}">
              <a16:creationId xmlns:a16="http://schemas.microsoft.com/office/drawing/2014/main" id="{D9E96D6D-EF8B-41AD-BD5C-1DBDD94F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24450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364" name="Picture 363" descr="http://www.abs.gov.au/icons/ecblank.gif">
          <a:extLst>
            <a:ext uri="{FF2B5EF4-FFF2-40B4-BE49-F238E27FC236}">
              <a16:creationId xmlns:a16="http://schemas.microsoft.com/office/drawing/2014/main" id="{2357B368-FD9F-406E-82BE-B7C5E311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867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365" name="Picture 364" descr="http://www.abs.gov.au/icons/ecblank.gif">
          <a:extLst>
            <a:ext uri="{FF2B5EF4-FFF2-40B4-BE49-F238E27FC236}">
              <a16:creationId xmlns:a16="http://schemas.microsoft.com/office/drawing/2014/main" id="{35047A16-4808-4328-AF77-6B3FCCD08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867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366" name="Picture 365" descr="http://www.abs.gov.au/icons/ecblank.gif">
          <a:extLst>
            <a:ext uri="{FF2B5EF4-FFF2-40B4-BE49-F238E27FC236}">
              <a16:creationId xmlns:a16="http://schemas.microsoft.com/office/drawing/2014/main" id="{0597992E-DA7A-4F74-94C0-CE453069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8676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367" name="Picture 366" descr="http://www.abs.gov.au/icons/ecblank.gif">
          <a:extLst>
            <a:ext uri="{FF2B5EF4-FFF2-40B4-BE49-F238E27FC236}">
              <a16:creationId xmlns:a16="http://schemas.microsoft.com/office/drawing/2014/main" id="{2C778183-A63C-4DC2-9AE7-736CADB8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8676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368" name="Picture 367" descr="http://www.abs.gov.au/icons/ecblank.gif">
          <a:extLst>
            <a:ext uri="{FF2B5EF4-FFF2-40B4-BE49-F238E27FC236}">
              <a16:creationId xmlns:a16="http://schemas.microsoft.com/office/drawing/2014/main" id="{B679B7FE-DA0F-42C6-840E-E22E48FD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867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369" name="Picture 368" descr="http://www.abs.gov.au/icons/ecblank.gif">
          <a:extLst>
            <a:ext uri="{FF2B5EF4-FFF2-40B4-BE49-F238E27FC236}">
              <a16:creationId xmlns:a16="http://schemas.microsoft.com/office/drawing/2014/main" id="{8A11C977-E009-4CCD-BEBA-15A4ED0B5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8676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370" name="Picture 369" descr="http://www.abs.gov.au/icons/ecblank.gif">
          <a:extLst>
            <a:ext uri="{FF2B5EF4-FFF2-40B4-BE49-F238E27FC236}">
              <a16:creationId xmlns:a16="http://schemas.microsoft.com/office/drawing/2014/main" id="{B8D7BD54-4345-4967-927E-215CC943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8676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371" name="Picture 370" descr="http://www.abs.gov.au/icons/ecblank.gif">
          <a:extLst>
            <a:ext uri="{FF2B5EF4-FFF2-40B4-BE49-F238E27FC236}">
              <a16:creationId xmlns:a16="http://schemas.microsoft.com/office/drawing/2014/main" id="{3502EB94-42E6-4287-A446-664C0F42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8676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372" name="Picture 371" descr="http://www.abs.gov.au/icons/ecblank.gif">
          <a:extLst>
            <a:ext uri="{FF2B5EF4-FFF2-40B4-BE49-F238E27FC236}">
              <a16:creationId xmlns:a16="http://schemas.microsoft.com/office/drawing/2014/main" id="{6DC6898F-3C59-4394-802C-8ECB593D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33975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373" name="Picture 372" descr="http://www.abs.gov.au/icons/ecblank.gif">
          <a:extLst>
            <a:ext uri="{FF2B5EF4-FFF2-40B4-BE49-F238E27FC236}">
              <a16:creationId xmlns:a16="http://schemas.microsoft.com/office/drawing/2014/main" id="{237BA9DB-6E63-48A5-9D54-63A45AAF3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33975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374" name="Picture 373" descr="http://www.abs.gov.au/icons/ecblank.gif">
          <a:extLst>
            <a:ext uri="{FF2B5EF4-FFF2-40B4-BE49-F238E27FC236}">
              <a16:creationId xmlns:a16="http://schemas.microsoft.com/office/drawing/2014/main" id="{83813544-D402-4CD4-A330-3468ADDAB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33975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375" name="Picture 374" descr="http://www.abs.gov.au/icons/ecblank.gif">
          <a:extLst>
            <a:ext uri="{FF2B5EF4-FFF2-40B4-BE49-F238E27FC236}">
              <a16:creationId xmlns:a16="http://schemas.microsoft.com/office/drawing/2014/main" id="{B61B1316-8629-4463-9A0D-6F0AF2505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33975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376" name="Picture 375" descr="http://www.abs.gov.au/icons/ecblank.gif">
          <a:extLst>
            <a:ext uri="{FF2B5EF4-FFF2-40B4-BE49-F238E27FC236}">
              <a16:creationId xmlns:a16="http://schemas.microsoft.com/office/drawing/2014/main" id="{F177491E-22D8-4933-977B-D1EF4D4B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133975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79</xdr:row>
      <xdr:rowOff>171450</xdr:rowOff>
    </xdr:from>
    <xdr:to>
      <xdr:col>7</xdr:col>
      <xdr:colOff>9525</xdr:colOff>
      <xdr:row>79</xdr:row>
      <xdr:rowOff>180975</xdr:rowOff>
    </xdr:to>
    <xdr:pic>
      <xdr:nvPicPr>
        <xdr:cNvPr id="377" name="Picture 376" descr="http://www.abs.gov.au/icons/ecblank.gif">
          <a:extLst>
            <a:ext uri="{FF2B5EF4-FFF2-40B4-BE49-F238E27FC236}">
              <a16:creationId xmlns:a16="http://schemas.microsoft.com/office/drawing/2014/main" id="{F4ED5358-54EB-4228-8186-172A2C06E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67400" y="16011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378" name="Picture 377" descr="http://www.abs.gov.au/icons/ecblank.gif">
          <a:extLst>
            <a:ext uri="{FF2B5EF4-FFF2-40B4-BE49-F238E27FC236}">
              <a16:creationId xmlns:a16="http://schemas.microsoft.com/office/drawing/2014/main" id="{4445A54A-0FB3-4D4F-B001-AFA40191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379" name="Picture 378" descr="http://www.abs.gov.au/icons/ecblank.gif">
          <a:extLst>
            <a:ext uri="{FF2B5EF4-FFF2-40B4-BE49-F238E27FC236}">
              <a16:creationId xmlns:a16="http://schemas.microsoft.com/office/drawing/2014/main" id="{4C7ACD63-337F-41F6-9839-0074D731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380" name="Picture 379" descr="http://www.abs.gov.au/icons/ecblank.gif">
          <a:extLst>
            <a:ext uri="{FF2B5EF4-FFF2-40B4-BE49-F238E27FC236}">
              <a16:creationId xmlns:a16="http://schemas.microsoft.com/office/drawing/2014/main" id="{74169C74-5FD7-4BC2-8A75-96F3BE78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381" name="Picture 380" descr="http://www.abs.gov.au/icons/ecblank.gif">
          <a:extLst>
            <a:ext uri="{FF2B5EF4-FFF2-40B4-BE49-F238E27FC236}">
              <a16:creationId xmlns:a16="http://schemas.microsoft.com/office/drawing/2014/main" id="{CEB365EB-3462-4EB1-91BC-A022BB9F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382" name="Picture 381" descr="http://www.abs.gov.au/icons/ecblank.gif">
          <a:extLst>
            <a:ext uri="{FF2B5EF4-FFF2-40B4-BE49-F238E27FC236}">
              <a16:creationId xmlns:a16="http://schemas.microsoft.com/office/drawing/2014/main" id="{1E3AC0A4-3544-4E98-A101-C66045DB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383" name="Picture 382" descr="http://www.abs.gov.au/icons/ecblank.gif">
          <a:extLst>
            <a:ext uri="{FF2B5EF4-FFF2-40B4-BE49-F238E27FC236}">
              <a16:creationId xmlns:a16="http://schemas.microsoft.com/office/drawing/2014/main" id="{6D431B7F-A855-4758-BA89-004E26E6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384" name="Picture 383" descr="http://www.abs.gov.au/icons/ecblank.gif">
          <a:extLst>
            <a:ext uri="{FF2B5EF4-FFF2-40B4-BE49-F238E27FC236}">
              <a16:creationId xmlns:a16="http://schemas.microsoft.com/office/drawing/2014/main" id="{E2D038BA-1644-4D8F-9100-34C6AB4B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385" name="Picture 384" descr="http://www.abs.gov.au/icons/ecblank.gif">
          <a:extLst>
            <a:ext uri="{FF2B5EF4-FFF2-40B4-BE49-F238E27FC236}">
              <a16:creationId xmlns:a16="http://schemas.microsoft.com/office/drawing/2014/main" id="{8C169412-F316-4A40-80BC-2C27EDD0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9525</xdr:rowOff>
    </xdr:to>
    <xdr:pic>
      <xdr:nvPicPr>
        <xdr:cNvPr id="386" name="Picture 385" descr="http://www.abs.gov.au/icons/ecblank.gif">
          <a:extLst>
            <a:ext uri="{FF2B5EF4-FFF2-40B4-BE49-F238E27FC236}">
              <a16:creationId xmlns:a16="http://schemas.microsoft.com/office/drawing/2014/main" id="{2999CEAD-961B-4D65-8977-113FCABD6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6602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9525</xdr:rowOff>
    </xdr:to>
    <xdr:pic>
      <xdr:nvPicPr>
        <xdr:cNvPr id="387" name="Picture 386" descr="http://www.abs.gov.au/icons/ecblank.gif">
          <a:extLst>
            <a:ext uri="{FF2B5EF4-FFF2-40B4-BE49-F238E27FC236}">
              <a16:creationId xmlns:a16="http://schemas.microsoft.com/office/drawing/2014/main" id="{2F277B4F-4FBB-42D8-A17B-44A8CA8A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6602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9525</xdr:rowOff>
    </xdr:to>
    <xdr:pic>
      <xdr:nvPicPr>
        <xdr:cNvPr id="388" name="Picture 387" descr="http://www.abs.gov.au/icons/ecblank.gif">
          <a:extLst>
            <a:ext uri="{FF2B5EF4-FFF2-40B4-BE49-F238E27FC236}">
              <a16:creationId xmlns:a16="http://schemas.microsoft.com/office/drawing/2014/main" id="{1D643AFC-9164-4C32-818C-42FE03FF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965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9525</xdr:rowOff>
    </xdr:to>
    <xdr:pic>
      <xdr:nvPicPr>
        <xdr:cNvPr id="389" name="Picture 388" descr="http://www.abs.gov.au/icons/ecblank.gif">
          <a:extLst>
            <a:ext uri="{FF2B5EF4-FFF2-40B4-BE49-F238E27FC236}">
              <a16:creationId xmlns:a16="http://schemas.microsoft.com/office/drawing/2014/main" id="{19E7342C-68FD-4D6A-B1E2-0F496D871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965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390" name="Picture 108" descr="http://www.abs.gov.au/icons/ecblank.gif">
          <a:extLst>
            <a:ext uri="{FF2B5EF4-FFF2-40B4-BE49-F238E27FC236}">
              <a16:creationId xmlns:a16="http://schemas.microsoft.com/office/drawing/2014/main" id="{B41DB16D-4059-47A2-BF8C-97C1334D8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391" name="Picture 109" descr="http://www.abs.gov.au/icons/ecblank.gif">
          <a:extLst>
            <a:ext uri="{FF2B5EF4-FFF2-40B4-BE49-F238E27FC236}">
              <a16:creationId xmlns:a16="http://schemas.microsoft.com/office/drawing/2014/main" id="{73DEF144-FACC-41A2-9091-1EA09E68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392" name="Picture 110" descr="http://www.abs.gov.au/icons/ecblank.gif">
          <a:extLst>
            <a:ext uri="{FF2B5EF4-FFF2-40B4-BE49-F238E27FC236}">
              <a16:creationId xmlns:a16="http://schemas.microsoft.com/office/drawing/2014/main" id="{3C1E4EF2-F71D-4F01-913B-67FE94CF1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393" name="Picture 111" descr="http://www.abs.gov.au/icons/ecblank.gif">
          <a:extLst>
            <a:ext uri="{FF2B5EF4-FFF2-40B4-BE49-F238E27FC236}">
              <a16:creationId xmlns:a16="http://schemas.microsoft.com/office/drawing/2014/main" id="{5AB86989-64CE-42DB-AD14-AE041C07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394" name="Picture 393" descr="http://www.abs.gov.au/icons/ecblank.gif">
          <a:extLst>
            <a:ext uri="{FF2B5EF4-FFF2-40B4-BE49-F238E27FC236}">
              <a16:creationId xmlns:a16="http://schemas.microsoft.com/office/drawing/2014/main" id="{C433FECF-ABD3-4994-B250-4A097292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395" name="Picture 394" descr="http://www.abs.gov.au/icons/ecblank.gif">
          <a:extLst>
            <a:ext uri="{FF2B5EF4-FFF2-40B4-BE49-F238E27FC236}">
              <a16:creationId xmlns:a16="http://schemas.microsoft.com/office/drawing/2014/main" id="{A23E7420-C061-44FD-B89A-618974CE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396" name="Picture 395" descr="http://www.abs.gov.au/icons/ecblank.gif">
          <a:extLst>
            <a:ext uri="{FF2B5EF4-FFF2-40B4-BE49-F238E27FC236}">
              <a16:creationId xmlns:a16="http://schemas.microsoft.com/office/drawing/2014/main" id="{52686CB0-27B0-4834-B1A5-50C4A33C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397" name="Picture 396" descr="http://www.abs.gov.au/icons/ecblank.gif">
          <a:extLst>
            <a:ext uri="{FF2B5EF4-FFF2-40B4-BE49-F238E27FC236}">
              <a16:creationId xmlns:a16="http://schemas.microsoft.com/office/drawing/2014/main" id="{77EBF47A-0686-406A-8898-F91E20AD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398" name="Picture 397" descr="http://www.abs.gov.au/icons/ecblank.gif">
          <a:extLst>
            <a:ext uri="{FF2B5EF4-FFF2-40B4-BE49-F238E27FC236}">
              <a16:creationId xmlns:a16="http://schemas.microsoft.com/office/drawing/2014/main" id="{C409C862-0B1F-41C4-9411-11197CE21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399" name="Picture 398" descr="http://www.abs.gov.au/icons/ecblank.gif">
          <a:extLst>
            <a:ext uri="{FF2B5EF4-FFF2-40B4-BE49-F238E27FC236}">
              <a16:creationId xmlns:a16="http://schemas.microsoft.com/office/drawing/2014/main" id="{D4F7775F-4C29-44AF-9E68-F96F6E62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400" name="Picture 399" descr="http://www.abs.gov.au/icons/ecblank.gif">
          <a:extLst>
            <a:ext uri="{FF2B5EF4-FFF2-40B4-BE49-F238E27FC236}">
              <a16:creationId xmlns:a16="http://schemas.microsoft.com/office/drawing/2014/main" id="{C64A2FF7-8EB8-4B38-8802-108AC87AC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401" name="Picture 400" descr="http://www.abs.gov.au/icons/ecblank.gif">
          <a:extLst>
            <a:ext uri="{FF2B5EF4-FFF2-40B4-BE49-F238E27FC236}">
              <a16:creationId xmlns:a16="http://schemas.microsoft.com/office/drawing/2014/main" id="{87CA1210-66A1-448A-990E-2B28E220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402" name="Picture 401" descr="http://www.abs.gov.au/icons/ecblank.gif">
          <a:extLst>
            <a:ext uri="{FF2B5EF4-FFF2-40B4-BE49-F238E27FC236}">
              <a16:creationId xmlns:a16="http://schemas.microsoft.com/office/drawing/2014/main" id="{C2B30746-AE5F-4153-AA4E-57BB56C14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403" name="Picture 402" descr="http://www.abs.gov.au/icons/ecblank.gif">
          <a:extLst>
            <a:ext uri="{FF2B5EF4-FFF2-40B4-BE49-F238E27FC236}">
              <a16:creationId xmlns:a16="http://schemas.microsoft.com/office/drawing/2014/main" id="{D2E7116E-006E-4DBB-95A8-B31AC66A0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404" name="Picture 403" descr="http://www.abs.gov.au/icons/ecblank.gif">
          <a:extLst>
            <a:ext uri="{FF2B5EF4-FFF2-40B4-BE49-F238E27FC236}">
              <a16:creationId xmlns:a16="http://schemas.microsoft.com/office/drawing/2014/main" id="{F25E8845-8AAF-41FD-9C29-CD6E6324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405" name="Picture 404" descr="http://www.abs.gov.au/icons/ecblank.gif">
          <a:extLst>
            <a:ext uri="{FF2B5EF4-FFF2-40B4-BE49-F238E27FC236}">
              <a16:creationId xmlns:a16="http://schemas.microsoft.com/office/drawing/2014/main" id="{7A6EB616-E9A2-4064-9FA2-369BA534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406" name="Picture 108" descr="http://www.abs.gov.au/icons/ecblank.gif">
          <a:extLst>
            <a:ext uri="{FF2B5EF4-FFF2-40B4-BE49-F238E27FC236}">
              <a16:creationId xmlns:a16="http://schemas.microsoft.com/office/drawing/2014/main" id="{C8A23DF6-52EA-4B23-8939-FFD28AC9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407" name="Picture 109" descr="http://www.abs.gov.au/icons/ecblank.gif">
          <a:extLst>
            <a:ext uri="{FF2B5EF4-FFF2-40B4-BE49-F238E27FC236}">
              <a16:creationId xmlns:a16="http://schemas.microsoft.com/office/drawing/2014/main" id="{83EC07E5-5491-4B94-9F2D-5267F762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408" name="Picture 110" descr="http://www.abs.gov.au/icons/ecblank.gif">
          <a:extLst>
            <a:ext uri="{FF2B5EF4-FFF2-40B4-BE49-F238E27FC236}">
              <a16:creationId xmlns:a16="http://schemas.microsoft.com/office/drawing/2014/main" id="{B99F9CD8-161F-4227-B4E9-A6B6082DF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409" name="Picture 111" descr="http://www.abs.gov.au/icons/ecblank.gif">
          <a:extLst>
            <a:ext uri="{FF2B5EF4-FFF2-40B4-BE49-F238E27FC236}">
              <a16:creationId xmlns:a16="http://schemas.microsoft.com/office/drawing/2014/main" id="{303CED64-DB0A-4914-ADBB-7FC1F258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410" name="Picture 409" descr="http://www.abs.gov.au/icons/ecblank.gif">
          <a:extLst>
            <a:ext uri="{FF2B5EF4-FFF2-40B4-BE49-F238E27FC236}">
              <a16:creationId xmlns:a16="http://schemas.microsoft.com/office/drawing/2014/main" id="{DC364309-A900-48DF-B957-6F463E01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411" name="Picture 410" descr="http://www.abs.gov.au/icons/ecblank.gif">
          <a:extLst>
            <a:ext uri="{FF2B5EF4-FFF2-40B4-BE49-F238E27FC236}">
              <a16:creationId xmlns:a16="http://schemas.microsoft.com/office/drawing/2014/main" id="{FAD5E60C-6F65-4135-95AF-0921A79D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412" name="Picture 411" descr="http://www.abs.gov.au/icons/ecblank.gif">
          <a:extLst>
            <a:ext uri="{FF2B5EF4-FFF2-40B4-BE49-F238E27FC236}">
              <a16:creationId xmlns:a16="http://schemas.microsoft.com/office/drawing/2014/main" id="{71DBFF0C-BA51-4027-B626-996FE2BE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413" name="Picture 412" descr="http://www.abs.gov.au/icons/ecblank.gif">
          <a:extLst>
            <a:ext uri="{FF2B5EF4-FFF2-40B4-BE49-F238E27FC236}">
              <a16:creationId xmlns:a16="http://schemas.microsoft.com/office/drawing/2014/main" id="{DE9B85FC-7D6E-45FA-913B-8A221BA2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414" name="Picture 413" descr="http://www.abs.gov.au/icons/ecblank.gif">
          <a:extLst>
            <a:ext uri="{FF2B5EF4-FFF2-40B4-BE49-F238E27FC236}">
              <a16:creationId xmlns:a16="http://schemas.microsoft.com/office/drawing/2014/main" id="{A1956F1E-2FF9-4D2E-BE92-9CD74D32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415" name="Picture 414" descr="http://www.abs.gov.au/icons/ecblank.gif">
          <a:extLst>
            <a:ext uri="{FF2B5EF4-FFF2-40B4-BE49-F238E27FC236}">
              <a16:creationId xmlns:a16="http://schemas.microsoft.com/office/drawing/2014/main" id="{D6638608-C108-49E9-B7D7-8C427E21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416" name="Picture 415" descr="http://www.abs.gov.au/icons/ecblank.gif">
          <a:extLst>
            <a:ext uri="{FF2B5EF4-FFF2-40B4-BE49-F238E27FC236}">
              <a16:creationId xmlns:a16="http://schemas.microsoft.com/office/drawing/2014/main" id="{F3042B78-98F5-43E6-A612-57497E65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417" name="Picture 416" descr="http://www.abs.gov.au/icons/ecblank.gif">
          <a:extLst>
            <a:ext uri="{FF2B5EF4-FFF2-40B4-BE49-F238E27FC236}">
              <a16:creationId xmlns:a16="http://schemas.microsoft.com/office/drawing/2014/main" id="{76458655-9F96-4054-A17C-BD73D48D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418" name="Picture 417" descr="http://www.abs.gov.au/icons/ecblank.gif">
          <a:extLst>
            <a:ext uri="{FF2B5EF4-FFF2-40B4-BE49-F238E27FC236}">
              <a16:creationId xmlns:a16="http://schemas.microsoft.com/office/drawing/2014/main" id="{A8C67B90-A04A-4F79-AEB4-82A81929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419" name="Picture 418" descr="http://www.abs.gov.au/icons/ecblank.gif">
          <a:extLst>
            <a:ext uri="{FF2B5EF4-FFF2-40B4-BE49-F238E27FC236}">
              <a16:creationId xmlns:a16="http://schemas.microsoft.com/office/drawing/2014/main" id="{0A905401-1BA5-42EC-8B20-60450837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420" name="Picture 419" descr="http://www.abs.gov.au/icons/ecblank.gif">
          <a:extLst>
            <a:ext uri="{FF2B5EF4-FFF2-40B4-BE49-F238E27FC236}">
              <a16:creationId xmlns:a16="http://schemas.microsoft.com/office/drawing/2014/main" id="{1468BEFF-C067-48DA-B6E3-5B332681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421" name="Picture 420" descr="http://www.abs.gov.au/icons/ecblank.gif">
          <a:extLst>
            <a:ext uri="{FF2B5EF4-FFF2-40B4-BE49-F238E27FC236}">
              <a16:creationId xmlns:a16="http://schemas.microsoft.com/office/drawing/2014/main" id="{9D9CFDDA-9823-4EB4-B8C2-EFCF41D1E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578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422" name="Picture 108" descr="http://www.abs.gov.au/icons/ecblank.gif">
          <a:extLst>
            <a:ext uri="{FF2B5EF4-FFF2-40B4-BE49-F238E27FC236}">
              <a16:creationId xmlns:a16="http://schemas.microsoft.com/office/drawing/2014/main" id="{8D4B20C2-3293-4A54-9AEA-3D30620A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423" name="Picture 109" descr="http://www.abs.gov.au/icons/ecblank.gif">
          <a:extLst>
            <a:ext uri="{FF2B5EF4-FFF2-40B4-BE49-F238E27FC236}">
              <a16:creationId xmlns:a16="http://schemas.microsoft.com/office/drawing/2014/main" id="{03EB10D8-5615-45B5-A5A4-3F39B777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424" name="Picture 110" descr="http://www.abs.gov.au/icons/ecblank.gif">
          <a:extLst>
            <a:ext uri="{FF2B5EF4-FFF2-40B4-BE49-F238E27FC236}">
              <a16:creationId xmlns:a16="http://schemas.microsoft.com/office/drawing/2014/main" id="{7AAEA366-8C2E-4293-B13A-36CFD4D0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425" name="Picture 111" descr="http://www.abs.gov.au/icons/ecblank.gif">
          <a:extLst>
            <a:ext uri="{FF2B5EF4-FFF2-40B4-BE49-F238E27FC236}">
              <a16:creationId xmlns:a16="http://schemas.microsoft.com/office/drawing/2014/main" id="{5F867989-9C6C-4907-B143-355041C7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672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426" name="Picture 425" descr="http://www.abs.gov.au/icons/ecblank.gif">
          <a:extLst>
            <a:ext uri="{FF2B5EF4-FFF2-40B4-BE49-F238E27FC236}">
              <a16:creationId xmlns:a16="http://schemas.microsoft.com/office/drawing/2014/main" id="{9FF43294-AD60-4A4D-8871-67361497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427" name="Picture 426" descr="http://www.abs.gov.au/icons/ecblank.gif">
          <a:extLst>
            <a:ext uri="{FF2B5EF4-FFF2-40B4-BE49-F238E27FC236}">
              <a16:creationId xmlns:a16="http://schemas.microsoft.com/office/drawing/2014/main" id="{2796A050-CB2C-4814-8855-BADAB68A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428" name="Picture 427" descr="http://www.abs.gov.au/icons/ecblank.gif">
          <a:extLst>
            <a:ext uri="{FF2B5EF4-FFF2-40B4-BE49-F238E27FC236}">
              <a16:creationId xmlns:a16="http://schemas.microsoft.com/office/drawing/2014/main" id="{8AF2470B-1BD9-49A3-B9DE-6A780D9E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429" name="Picture 428" descr="http://www.abs.gov.au/icons/ecblank.gif">
          <a:extLst>
            <a:ext uri="{FF2B5EF4-FFF2-40B4-BE49-F238E27FC236}">
              <a16:creationId xmlns:a16="http://schemas.microsoft.com/office/drawing/2014/main" id="{DF081703-58B7-401F-8769-A5708C476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430" name="Picture 429" descr="http://www.abs.gov.au/icons/ecblank.gif">
          <a:extLst>
            <a:ext uri="{FF2B5EF4-FFF2-40B4-BE49-F238E27FC236}">
              <a16:creationId xmlns:a16="http://schemas.microsoft.com/office/drawing/2014/main" id="{4F827E0C-FB00-4EA3-8D08-101576A1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431" name="Picture 430" descr="http://www.abs.gov.au/icons/ecblank.gif">
          <a:extLst>
            <a:ext uri="{FF2B5EF4-FFF2-40B4-BE49-F238E27FC236}">
              <a16:creationId xmlns:a16="http://schemas.microsoft.com/office/drawing/2014/main" id="{FDF93BCA-5F46-4380-80EC-A57333BF1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432" name="Picture 431" descr="http://www.abs.gov.au/icons/ecblank.gif">
          <a:extLst>
            <a:ext uri="{FF2B5EF4-FFF2-40B4-BE49-F238E27FC236}">
              <a16:creationId xmlns:a16="http://schemas.microsoft.com/office/drawing/2014/main" id="{73E72206-788C-4489-86B1-CA289969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433" name="Picture 432" descr="http://www.abs.gov.au/icons/ecblank.gif">
          <a:extLst>
            <a:ext uri="{FF2B5EF4-FFF2-40B4-BE49-F238E27FC236}">
              <a16:creationId xmlns:a16="http://schemas.microsoft.com/office/drawing/2014/main" id="{566E7ED1-9966-43AC-9ABA-B1987CF0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434" name="Picture 433" descr="http://www.abs.gov.au/icons/ecblank.gif">
          <a:extLst>
            <a:ext uri="{FF2B5EF4-FFF2-40B4-BE49-F238E27FC236}">
              <a16:creationId xmlns:a16="http://schemas.microsoft.com/office/drawing/2014/main" id="{3EFC4157-A8D9-440C-BF11-603F5CA0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76750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435" name="Picture 434" descr="http://www.abs.gov.au/icons/ecblank.gif">
          <a:extLst>
            <a:ext uri="{FF2B5EF4-FFF2-40B4-BE49-F238E27FC236}">
              <a16:creationId xmlns:a16="http://schemas.microsoft.com/office/drawing/2014/main" id="{B75A4C6A-E2D0-4E20-933A-37AE215E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76750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436" name="Picture 435" descr="http://www.abs.gov.au/icons/ecblank.gif">
          <a:extLst>
            <a:ext uri="{FF2B5EF4-FFF2-40B4-BE49-F238E27FC236}">
              <a16:creationId xmlns:a16="http://schemas.microsoft.com/office/drawing/2014/main" id="{58AF3DB6-6CA5-4B1B-8400-84F97CCC6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76750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437" name="Picture 436" descr="http://www.abs.gov.au/icons/ecblank.gif">
          <a:extLst>
            <a:ext uri="{FF2B5EF4-FFF2-40B4-BE49-F238E27FC236}">
              <a16:creationId xmlns:a16="http://schemas.microsoft.com/office/drawing/2014/main" id="{7789575D-E924-47C6-889F-4564B6EF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76750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438" name="Picture 437" descr="http://www.abs.gov.au/icons/ecblank.gif">
          <a:extLst>
            <a:ext uri="{FF2B5EF4-FFF2-40B4-BE49-F238E27FC236}">
              <a16:creationId xmlns:a16="http://schemas.microsoft.com/office/drawing/2014/main" id="{21E9DDA1-08BB-49A5-B87C-0B2D6221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476750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9525</xdr:colOff>
      <xdr:row>80</xdr:row>
      <xdr:rowOff>9525</xdr:rowOff>
    </xdr:to>
    <xdr:pic>
      <xdr:nvPicPr>
        <xdr:cNvPr id="439" name="Picture 438" descr="http://www.abs.gov.au/icons/ecblank.gif">
          <a:extLst>
            <a:ext uri="{FF2B5EF4-FFF2-40B4-BE49-F238E27FC236}">
              <a16:creationId xmlns:a16="http://schemas.microsoft.com/office/drawing/2014/main" id="{2C93C588-9FB5-4D74-AA42-E3E56FB2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725150" y="16030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9525</xdr:colOff>
      <xdr:row>80</xdr:row>
      <xdr:rowOff>9525</xdr:rowOff>
    </xdr:to>
    <xdr:pic>
      <xdr:nvPicPr>
        <xdr:cNvPr id="440" name="Picture 439" descr="http://www.abs.gov.au/icons/ecblank.gif">
          <a:extLst>
            <a:ext uri="{FF2B5EF4-FFF2-40B4-BE49-F238E27FC236}">
              <a16:creationId xmlns:a16="http://schemas.microsoft.com/office/drawing/2014/main" id="{64FB7FCE-2BBE-445C-A63A-5CAA748E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725150" y="16030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9525</xdr:colOff>
      <xdr:row>96</xdr:row>
      <xdr:rowOff>9525</xdr:rowOff>
    </xdr:to>
    <xdr:pic>
      <xdr:nvPicPr>
        <xdr:cNvPr id="441" name="Picture 440" descr="http://www.abs.gov.au/icons/ecblank.gif">
          <a:extLst>
            <a:ext uri="{FF2B5EF4-FFF2-40B4-BE49-F238E27FC236}">
              <a16:creationId xmlns:a16="http://schemas.microsoft.com/office/drawing/2014/main" id="{9D749BBA-2FD1-4308-99FC-673083EF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725150" y="19078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9525</xdr:colOff>
      <xdr:row>96</xdr:row>
      <xdr:rowOff>9525</xdr:rowOff>
    </xdr:to>
    <xdr:pic>
      <xdr:nvPicPr>
        <xdr:cNvPr id="442" name="Picture 441" descr="http://www.abs.gov.au/icons/ecblank.gif">
          <a:extLst>
            <a:ext uri="{FF2B5EF4-FFF2-40B4-BE49-F238E27FC236}">
              <a16:creationId xmlns:a16="http://schemas.microsoft.com/office/drawing/2014/main" id="{DF2AF23F-7250-44C5-8848-F3518368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725150" y="19078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443" name="Picture 442" descr="http://www.abs.gov.au/icons/ecblank.gif">
          <a:extLst>
            <a:ext uri="{FF2B5EF4-FFF2-40B4-BE49-F238E27FC236}">
              <a16:creationId xmlns:a16="http://schemas.microsoft.com/office/drawing/2014/main" id="{19CD15B3-2B2C-4E33-8D1C-0F5DE8960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444" name="Picture 443" descr="http://www.abs.gov.au/icons/ecblank.gif">
          <a:extLst>
            <a:ext uri="{FF2B5EF4-FFF2-40B4-BE49-F238E27FC236}">
              <a16:creationId xmlns:a16="http://schemas.microsoft.com/office/drawing/2014/main" id="{3D00E111-AEC5-44E9-95F7-55B6C014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445" name="Picture 444" descr="http://www.abs.gov.au/icons/ecblank.gif">
          <a:extLst>
            <a:ext uri="{FF2B5EF4-FFF2-40B4-BE49-F238E27FC236}">
              <a16:creationId xmlns:a16="http://schemas.microsoft.com/office/drawing/2014/main" id="{87DD39F7-88B6-462A-B52D-B483E48C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446" name="Picture 445" descr="http://www.abs.gov.au/icons/ecblank.gif">
          <a:extLst>
            <a:ext uri="{FF2B5EF4-FFF2-40B4-BE49-F238E27FC236}">
              <a16:creationId xmlns:a16="http://schemas.microsoft.com/office/drawing/2014/main" id="{113258BD-68F6-4F36-8334-739244D3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447" name="Picture 446" descr="http://www.abs.gov.au/icons/ecblank.gif">
          <a:extLst>
            <a:ext uri="{FF2B5EF4-FFF2-40B4-BE49-F238E27FC236}">
              <a16:creationId xmlns:a16="http://schemas.microsoft.com/office/drawing/2014/main" id="{4A5564B5-7244-4E1E-8341-B7DFE1809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448" name="Picture 447" descr="http://www.abs.gov.au/icons/ecblank.gif">
          <a:extLst>
            <a:ext uri="{FF2B5EF4-FFF2-40B4-BE49-F238E27FC236}">
              <a16:creationId xmlns:a16="http://schemas.microsoft.com/office/drawing/2014/main" id="{0A0E1C6C-8851-4511-B675-C9FF9A23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449" name="Picture 448" descr="http://www.abs.gov.au/icons/ecblank.gif">
          <a:extLst>
            <a:ext uri="{FF2B5EF4-FFF2-40B4-BE49-F238E27FC236}">
              <a16:creationId xmlns:a16="http://schemas.microsoft.com/office/drawing/2014/main" id="{6AAC6AA9-6101-4F24-BE37-E941D998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450" name="Picture 449" descr="http://www.abs.gov.au/icons/ecblank.gif">
          <a:extLst>
            <a:ext uri="{FF2B5EF4-FFF2-40B4-BE49-F238E27FC236}">
              <a16:creationId xmlns:a16="http://schemas.microsoft.com/office/drawing/2014/main" id="{A1D0D965-A41A-4512-BEC4-30F97999F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451" name="Picture 450" descr="http://www.abs.gov.au/icons/ecblank.gif">
          <a:extLst>
            <a:ext uri="{FF2B5EF4-FFF2-40B4-BE49-F238E27FC236}">
              <a16:creationId xmlns:a16="http://schemas.microsoft.com/office/drawing/2014/main" id="{9F0D1C85-817F-4A87-9267-47A7044D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452" name="Picture 451" descr="http://www.abs.gov.au/icons/ecblank.gif">
          <a:extLst>
            <a:ext uri="{FF2B5EF4-FFF2-40B4-BE49-F238E27FC236}">
              <a16:creationId xmlns:a16="http://schemas.microsoft.com/office/drawing/2014/main" id="{AB75728B-6CB4-4E70-9FAD-DF0B484B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453" name="Picture 452" descr="http://www.abs.gov.au/icons/ecblank.gif">
          <a:extLst>
            <a:ext uri="{FF2B5EF4-FFF2-40B4-BE49-F238E27FC236}">
              <a16:creationId xmlns:a16="http://schemas.microsoft.com/office/drawing/2014/main" id="{08076168-F3EA-49EF-BCAB-87EAF393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454" name="Picture 453" descr="http://www.abs.gov.au/icons/ecblank.gif">
          <a:extLst>
            <a:ext uri="{FF2B5EF4-FFF2-40B4-BE49-F238E27FC236}">
              <a16:creationId xmlns:a16="http://schemas.microsoft.com/office/drawing/2014/main" id="{7957B9F1-61B1-4292-960D-129B1601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455" name="Picture 454" descr="http://www.abs.gov.au/icons/ecblank.gif">
          <a:extLst>
            <a:ext uri="{FF2B5EF4-FFF2-40B4-BE49-F238E27FC236}">
              <a16:creationId xmlns:a16="http://schemas.microsoft.com/office/drawing/2014/main" id="{EB827956-3ADF-4F90-B940-95BB23A1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456" name="Picture 455" descr="http://www.abs.gov.au/icons/ecblank.gif">
          <a:extLst>
            <a:ext uri="{FF2B5EF4-FFF2-40B4-BE49-F238E27FC236}">
              <a16:creationId xmlns:a16="http://schemas.microsoft.com/office/drawing/2014/main" id="{10BC3CFC-FFC6-402F-ABBD-064C9EAF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457" name="Picture 456" descr="http://www.abs.gov.au/icons/ecblank.gif">
          <a:extLst>
            <a:ext uri="{FF2B5EF4-FFF2-40B4-BE49-F238E27FC236}">
              <a16:creationId xmlns:a16="http://schemas.microsoft.com/office/drawing/2014/main" id="{2C707EB4-9F77-4B0F-8E24-0AAF9F2F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458" name="Picture 457" descr="http://www.abs.gov.au/icons/ecblank.gif">
          <a:extLst>
            <a:ext uri="{FF2B5EF4-FFF2-40B4-BE49-F238E27FC236}">
              <a16:creationId xmlns:a16="http://schemas.microsoft.com/office/drawing/2014/main" id="{74B62A56-648D-4581-9B9D-8352012E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459" name="Picture 458" descr="http://www.abs.gov.au/icons/ecblank.gif">
          <a:extLst>
            <a:ext uri="{FF2B5EF4-FFF2-40B4-BE49-F238E27FC236}">
              <a16:creationId xmlns:a16="http://schemas.microsoft.com/office/drawing/2014/main" id="{1ADE1AEC-3EBF-4E62-8639-7A0BDB7A2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460" name="Picture 459" descr="http://www.abs.gov.au/icons/ecblank.gif">
          <a:extLst>
            <a:ext uri="{FF2B5EF4-FFF2-40B4-BE49-F238E27FC236}">
              <a16:creationId xmlns:a16="http://schemas.microsoft.com/office/drawing/2014/main" id="{9F16EB18-06A1-4C66-803D-B4EDE24E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461" name="Picture 460" descr="http://www.abs.gov.au/icons/ecblank.gif">
          <a:extLst>
            <a:ext uri="{FF2B5EF4-FFF2-40B4-BE49-F238E27FC236}">
              <a16:creationId xmlns:a16="http://schemas.microsoft.com/office/drawing/2014/main" id="{3D957771-2962-4624-ADAF-56D8050F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462" name="Picture 461" descr="http://www.abs.gov.au/icons/ecblank.gif">
          <a:extLst>
            <a:ext uri="{FF2B5EF4-FFF2-40B4-BE49-F238E27FC236}">
              <a16:creationId xmlns:a16="http://schemas.microsoft.com/office/drawing/2014/main" id="{0F41DE4C-DA32-437D-84E5-2EFB24D0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463" name="Picture 462" descr="http://www.abs.gov.au/icons/ecblank.gif">
          <a:extLst>
            <a:ext uri="{FF2B5EF4-FFF2-40B4-BE49-F238E27FC236}">
              <a16:creationId xmlns:a16="http://schemas.microsoft.com/office/drawing/2014/main" id="{C5D4EDDC-7446-4B1C-8B95-B872C38A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464" name="Picture 463" descr="http://www.abs.gov.au/icons/ecblank.gif">
          <a:extLst>
            <a:ext uri="{FF2B5EF4-FFF2-40B4-BE49-F238E27FC236}">
              <a16:creationId xmlns:a16="http://schemas.microsoft.com/office/drawing/2014/main" id="{12377461-6D72-401C-AEB4-34392757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465" name="Picture 464" descr="http://www.abs.gov.au/icons/ecblank.gif">
          <a:extLst>
            <a:ext uri="{FF2B5EF4-FFF2-40B4-BE49-F238E27FC236}">
              <a16:creationId xmlns:a16="http://schemas.microsoft.com/office/drawing/2014/main" id="{A4D77E75-A30B-4E47-8D71-95294247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466" name="Picture 465" descr="http://www.abs.gov.au/icons/ecblank.gif">
          <a:extLst>
            <a:ext uri="{FF2B5EF4-FFF2-40B4-BE49-F238E27FC236}">
              <a16:creationId xmlns:a16="http://schemas.microsoft.com/office/drawing/2014/main" id="{594F88F3-9E3D-42D0-A184-1676B5FD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467" name="Picture 108" descr="http://www.abs.gov.au/icons/ecblank.gif">
          <a:extLst>
            <a:ext uri="{FF2B5EF4-FFF2-40B4-BE49-F238E27FC236}">
              <a16:creationId xmlns:a16="http://schemas.microsoft.com/office/drawing/2014/main" id="{8321FB3D-9A71-471B-8CD8-E3042E817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468" name="Picture 109" descr="http://www.abs.gov.au/icons/ecblank.gif">
          <a:extLst>
            <a:ext uri="{FF2B5EF4-FFF2-40B4-BE49-F238E27FC236}">
              <a16:creationId xmlns:a16="http://schemas.microsoft.com/office/drawing/2014/main" id="{8D8BB673-96D2-4ADD-A5B8-9065B35E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469" name="Picture 110" descr="http://www.abs.gov.au/icons/ecblank.gif">
          <a:extLst>
            <a:ext uri="{FF2B5EF4-FFF2-40B4-BE49-F238E27FC236}">
              <a16:creationId xmlns:a16="http://schemas.microsoft.com/office/drawing/2014/main" id="{17693823-89F6-4015-A913-68FFF43A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470" name="Picture 111" descr="http://www.abs.gov.au/icons/ecblank.gif">
          <a:extLst>
            <a:ext uri="{FF2B5EF4-FFF2-40B4-BE49-F238E27FC236}">
              <a16:creationId xmlns:a16="http://schemas.microsoft.com/office/drawing/2014/main" id="{51352B4D-192D-4846-9BFA-205DCC98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471" name="Picture 470" descr="http://www.abs.gov.au/icons/ecblank.gif">
          <a:extLst>
            <a:ext uri="{FF2B5EF4-FFF2-40B4-BE49-F238E27FC236}">
              <a16:creationId xmlns:a16="http://schemas.microsoft.com/office/drawing/2014/main" id="{0B7EDA2C-24D2-40DE-9B84-594C5E0A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472" name="Picture 471" descr="http://www.abs.gov.au/icons/ecblank.gif">
          <a:extLst>
            <a:ext uri="{FF2B5EF4-FFF2-40B4-BE49-F238E27FC236}">
              <a16:creationId xmlns:a16="http://schemas.microsoft.com/office/drawing/2014/main" id="{A9392596-DB58-4D86-845F-546C38C6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473" name="Picture 472" descr="http://www.abs.gov.au/icons/ecblank.gif">
          <a:extLst>
            <a:ext uri="{FF2B5EF4-FFF2-40B4-BE49-F238E27FC236}">
              <a16:creationId xmlns:a16="http://schemas.microsoft.com/office/drawing/2014/main" id="{58ADD8AA-28B3-40CF-A223-9946D955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474" name="Picture 473" descr="http://www.abs.gov.au/icons/ecblank.gif">
          <a:extLst>
            <a:ext uri="{FF2B5EF4-FFF2-40B4-BE49-F238E27FC236}">
              <a16:creationId xmlns:a16="http://schemas.microsoft.com/office/drawing/2014/main" id="{CA6C0C17-19EC-45B5-A395-3F75A4E9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475" name="Picture 474" descr="http://www.abs.gov.au/icons/ecblank.gif">
          <a:extLst>
            <a:ext uri="{FF2B5EF4-FFF2-40B4-BE49-F238E27FC236}">
              <a16:creationId xmlns:a16="http://schemas.microsoft.com/office/drawing/2014/main" id="{DEFB0774-459D-4E09-BF7A-9951A600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476" name="Picture 475" descr="http://www.abs.gov.au/icons/ecblank.gif">
          <a:extLst>
            <a:ext uri="{FF2B5EF4-FFF2-40B4-BE49-F238E27FC236}">
              <a16:creationId xmlns:a16="http://schemas.microsoft.com/office/drawing/2014/main" id="{F178FC22-7EB8-41AE-8BE8-80090FD6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477" name="Picture 476" descr="http://www.abs.gov.au/icons/ecblank.gif">
          <a:extLst>
            <a:ext uri="{FF2B5EF4-FFF2-40B4-BE49-F238E27FC236}">
              <a16:creationId xmlns:a16="http://schemas.microsoft.com/office/drawing/2014/main" id="{B62E89BE-ACCD-43BF-8A3D-C88C1029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478" name="Picture 477" descr="http://www.abs.gov.au/icons/ecblank.gif">
          <a:extLst>
            <a:ext uri="{FF2B5EF4-FFF2-40B4-BE49-F238E27FC236}">
              <a16:creationId xmlns:a16="http://schemas.microsoft.com/office/drawing/2014/main" id="{BFE40A49-1182-43B0-B796-5F3D73F4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479" name="Picture 108" descr="http://www.abs.gov.au/icons/ecblank.gif">
          <a:extLst>
            <a:ext uri="{FF2B5EF4-FFF2-40B4-BE49-F238E27FC236}">
              <a16:creationId xmlns:a16="http://schemas.microsoft.com/office/drawing/2014/main" id="{9CABB8D9-968B-4637-AA0B-0DB98C6D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480" name="Picture 109" descr="http://www.abs.gov.au/icons/ecblank.gif">
          <a:extLst>
            <a:ext uri="{FF2B5EF4-FFF2-40B4-BE49-F238E27FC236}">
              <a16:creationId xmlns:a16="http://schemas.microsoft.com/office/drawing/2014/main" id="{661C7491-F4B6-4BAC-B844-2F8C55DD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481" name="Picture 110" descr="http://www.abs.gov.au/icons/ecblank.gif">
          <a:extLst>
            <a:ext uri="{FF2B5EF4-FFF2-40B4-BE49-F238E27FC236}">
              <a16:creationId xmlns:a16="http://schemas.microsoft.com/office/drawing/2014/main" id="{3DCC68CA-2B07-4DF8-AA5F-DF8EEE1F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482" name="Picture 111" descr="http://www.abs.gov.au/icons/ecblank.gif">
          <a:extLst>
            <a:ext uri="{FF2B5EF4-FFF2-40B4-BE49-F238E27FC236}">
              <a16:creationId xmlns:a16="http://schemas.microsoft.com/office/drawing/2014/main" id="{AF6C433A-4AAD-4F64-80BB-2E5A7E4D3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395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80</xdr:row>
      <xdr:rowOff>0</xdr:rowOff>
    </xdr:from>
    <xdr:to>
      <xdr:col>12</xdr:col>
      <xdr:colOff>0</xdr:colOff>
      <xdr:row>80</xdr:row>
      <xdr:rowOff>9525</xdr:rowOff>
    </xdr:to>
    <xdr:pic>
      <xdr:nvPicPr>
        <xdr:cNvPr id="483" name="Picture 482" descr="http://www.abs.gov.au/icons/ecblank.gif">
          <a:extLst>
            <a:ext uri="{FF2B5EF4-FFF2-40B4-BE49-F238E27FC236}">
              <a16:creationId xmlns:a16="http://schemas.microsoft.com/office/drawing/2014/main" id="{4D9ABE9E-4B9E-40F8-8C56-BAB2D27D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2964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80</xdr:row>
      <xdr:rowOff>0</xdr:rowOff>
    </xdr:from>
    <xdr:to>
      <xdr:col>12</xdr:col>
      <xdr:colOff>0</xdr:colOff>
      <xdr:row>80</xdr:row>
      <xdr:rowOff>9525</xdr:rowOff>
    </xdr:to>
    <xdr:pic>
      <xdr:nvPicPr>
        <xdr:cNvPr id="484" name="Picture 483" descr="http://www.abs.gov.au/icons/ecblank.gif">
          <a:extLst>
            <a:ext uri="{FF2B5EF4-FFF2-40B4-BE49-F238E27FC236}">
              <a16:creationId xmlns:a16="http://schemas.microsoft.com/office/drawing/2014/main" id="{4D685CF7-B56B-4C76-B79D-0B2A01A30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2964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96</xdr:row>
      <xdr:rowOff>0</xdr:rowOff>
    </xdr:from>
    <xdr:to>
      <xdr:col>12</xdr:col>
      <xdr:colOff>0</xdr:colOff>
      <xdr:row>96</xdr:row>
      <xdr:rowOff>9525</xdr:rowOff>
    </xdr:to>
    <xdr:pic>
      <xdr:nvPicPr>
        <xdr:cNvPr id="485" name="Picture 484" descr="http://www.abs.gov.au/icons/ecblank.gif">
          <a:extLst>
            <a:ext uri="{FF2B5EF4-FFF2-40B4-BE49-F238E27FC236}">
              <a16:creationId xmlns:a16="http://schemas.microsoft.com/office/drawing/2014/main" id="{754FF2D8-A387-429E-A06A-8B8CB6C8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2964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96</xdr:row>
      <xdr:rowOff>0</xdr:rowOff>
    </xdr:from>
    <xdr:to>
      <xdr:col>12</xdr:col>
      <xdr:colOff>0</xdr:colOff>
      <xdr:row>96</xdr:row>
      <xdr:rowOff>9525</xdr:rowOff>
    </xdr:to>
    <xdr:pic>
      <xdr:nvPicPr>
        <xdr:cNvPr id="486" name="Picture 485" descr="http://www.abs.gov.au/icons/ecblank.gif">
          <a:extLst>
            <a:ext uri="{FF2B5EF4-FFF2-40B4-BE49-F238E27FC236}">
              <a16:creationId xmlns:a16="http://schemas.microsoft.com/office/drawing/2014/main" id="{496C085D-C384-479A-A2FB-0EE2A8B9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2964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80</xdr:row>
      <xdr:rowOff>0</xdr:rowOff>
    </xdr:from>
    <xdr:to>
      <xdr:col>12</xdr:col>
      <xdr:colOff>0</xdr:colOff>
      <xdr:row>80</xdr:row>
      <xdr:rowOff>9525</xdr:rowOff>
    </xdr:to>
    <xdr:pic>
      <xdr:nvPicPr>
        <xdr:cNvPr id="487" name="Picture 486" descr="http://www.abs.gov.au/icons/ecblank.gif">
          <a:extLst>
            <a:ext uri="{FF2B5EF4-FFF2-40B4-BE49-F238E27FC236}">
              <a16:creationId xmlns:a16="http://schemas.microsoft.com/office/drawing/2014/main" id="{1ECCAA09-9A28-4333-B7B0-736B1F16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2964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80</xdr:row>
      <xdr:rowOff>0</xdr:rowOff>
    </xdr:from>
    <xdr:to>
      <xdr:col>12</xdr:col>
      <xdr:colOff>0</xdr:colOff>
      <xdr:row>80</xdr:row>
      <xdr:rowOff>9525</xdr:rowOff>
    </xdr:to>
    <xdr:pic>
      <xdr:nvPicPr>
        <xdr:cNvPr id="488" name="Picture 487" descr="http://www.abs.gov.au/icons/ecblank.gif">
          <a:extLst>
            <a:ext uri="{FF2B5EF4-FFF2-40B4-BE49-F238E27FC236}">
              <a16:creationId xmlns:a16="http://schemas.microsoft.com/office/drawing/2014/main" id="{D4ED9083-9A8C-4DE2-92B5-62E2573B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2964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96</xdr:row>
      <xdr:rowOff>0</xdr:rowOff>
    </xdr:from>
    <xdr:to>
      <xdr:col>12</xdr:col>
      <xdr:colOff>0</xdr:colOff>
      <xdr:row>96</xdr:row>
      <xdr:rowOff>9525</xdr:rowOff>
    </xdr:to>
    <xdr:pic>
      <xdr:nvPicPr>
        <xdr:cNvPr id="489" name="Picture 488" descr="http://www.abs.gov.au/icons/ecblank.gif">
          <a:extLst>
            <a:ext uri="{FF2B5EF4-FFF2-40B4-BE49-F238E27FC236}">
              <a16:creationId xmlns:a16="http://schemas.microsoft.com/office/drawing/2014/main" id="{2FBEACE2-2435-46CA-8285-ED82AB7B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2964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96</xdr:row>
      <xdr:rowOff>0</xdr:rowOff>
    </xdr:from>
    <xdr:to>
      <xdr:col>12</xdr:col>
      <xdr:colOff>0</xdr:colOff>
      <xdr:row>96</xdr:row>
      <xdr:rowOff>9525</xdr:rowOff>
    </xdr:to>
    <xdr:pic>
      <xdr:nvPicPr>
        <xdr:cNvPr id="490" name="Picture 489" descr="http://www.abs.gov.au/icons/ecblank.gif">
          <a:extLst>
            <a:ext uri="{FF2B5EF4-FFF2-40B4-BE49-F238E27FC236}">
              <a16:creationId xmlns:a16="http://schemas.microsoft.com/office/drawing/2014/main" id="{2E51E7A0-9EF1-4597-8D0C-4C3673EA7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2964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79</xdr:row>
      <xdr:rowOff>0</xdr:rowOff>
    </xdr:from>
    <xdr:to>
      <xdr:col>16</xdr:col>
      <xdr:colOff>9525</xdr:colOff>
      <xdr:row>79</xdr:row>
      <xdr:rowOff>9525</xdr:rowOff>
    </xdr:to>
    <xdr:pic>
      <xdr:nvPicPr>
        <xdr:cNvPr id="491" name="Picture 490" descr="http://www.abs.gov.au/icons/ecblank.gif">
          <a:extLst>
            <a:ext uri="{FF2B5EF4-FFF2-40B4-BE49-F238E27FC236}">
              <a16:creationId xmlns:a16="http://schemas.microsoft.com/office/drawing/2014/main" id="{BEF74A53-18E3-4976-99BE-BBA7E6BA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153900" y="1584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79</xdr:row>
      <xdr:rowOff>0</xdr:rowOff>
    </xdr:from>
    <xdr:to>
      <xdr:col>16</xdr:col>
      <xdr:colOff>9525</xdr:colOff>
      <xdr:row>79</xdr:row>
      <xdr:rowOff>9525</xdr:rowOff>
    </xdr:to>
    <xdr:pic>
      <xdr:nvPicPr>
        <xdr:cNvPr id="492" name="Picture 491" descr="http://www.abs.gov.au/icons/ecblank.gif">
          <a:extLst>
            <a:ext uri="{FF2B5EF4-FFF2-40B4-BE49-F238E27FC236}">
              <a16:creationId xmlns:a16="http://schemas.microsoft.com/office/drawing/2014/main" id="{D9E24C55-D12D-4EF7-8219-63E3176D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153900" y="1584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95</xdr:row>
      <xdr:rowOff>0</xdr:rowOff>
    </xdr:from>
    <xdr:to>
      <xdr:col>16</xdr:col>
      <xdr:colOff>9525</xdr:colOff>
      <xdr:row>95</xdr:row>
      <xdr:rowOff>9525</xdr:rowOff>
    </xdr:to>
    <xdr:pic>
      <xdr:nvPicPr>
        <xdr:cNvPr id="493" name="Picture 492" descr="http://www.abs.gov.au/icons/ecblank.gif">
          <a:extLst>
            <a:ext uri="{FF2B5EF4-FFF2-40B4-BE49-F238E27FC236}">
              <a16:creationId xmlns:a16="http://schemas.microsoft.com/office/drawing/2014/main" id="{6A106C2C-5447-4E16-8122-85807885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153900" y="1888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95</xdr:row>
      <xdr:rowOff>0</xdr:rowOff>
    </xdr:from>
    <xdr:to>
      <xdr:col>16</xdr:col>
      <xdr:colOff>9525</xdr:colOff>
      <xdr:row>95</xdr:row>
      <xdr:rowOff>9525</xdr:rowOff>
    </xdr:to>
    <xdr:pic>
      <xdr:nvPicPr>
        <xdr:cNvPr id="494" name="Picture 493" descr="http://www.abs.gov.au/icons/ecblank.gif">
          <a:extLst>
            <a:ext uri="{FF2B5EF4-FFF2-40B4-BE49-F238E27FC236}">
              <a16:creationId xmlns:a16="http://schemas.microsoft.com/office/drawing/2014/main" id="{F48E9397-0868-4434-9C56-0D43AF39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153900" y="1888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495" name="Picture 494" descr="http://www.abs.gov.au/icons/ecblank.gif">
          <a:extLst>
            <a:ext uri="{FF2B5EF4-FFF2-40B4-BE49-F238E27FC236}">
              <a16:creationId xmlns:a16="http://schemas.microsoft.com/office/drawing/2014/main" id="{CAADFCB2-0EAD-476A-8E30-C8536BAD2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496" name="Picture 495" descr="http://www.abs.gov.au/icons/ecblank.gif">
          <a:extLst>
            <a:ext uri="{FF2B5EF4-FFF2-40B4-BE49-F238E27FC236}">
              <a16:creationId xmlns:a16="http://schemas.microsoft.com/office/drawing/2014/main" id="{CF66FFB3-292C-4C85-AF20-53357132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497" name="Picture 496" descr="http://www.abs.gov.au/icons/ecblank.gif">
          <a:extLst>
            <a:ext uri="{FF2B5EF4-FFF2-40B4-BE49-F238E27FC236}">
              <a16:creationId xmlns:a16="http://schemas.microsoft.com/office/drawing/2014/main" id="{34F4B949-78A7-48ED-9BF8-862F8B0BA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498" name="Picture 497" descr="http://www.abs.gov.au/icons/ecblank.gif">
          <a:extLst>
            <a:ext uri="{FF2B5EF4-FFF2-40B4-BE49-F238E27FC236}">
              <a16:creationId xmlns:a16="http://schemas.microsoft.com/office/drawing/2014/main" id="{6B84EEF5-0F0E-445E-96A5-285C53A7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499" name="Picture 498" descr="http://www.abs.gov.au/icons/ecblank.gif">
          <a:extLst>
            <a:ext uri="{FF2B5EF4-FFF2-40B4-BE49-F238E27FC236}">
              <a16:creationId xmlns:a16="http://schemas.microsoft.com/office/drawing/2014/main" id="{DC5F9BAF-43ED-4A80-8665-80E97B6F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500" name="Picture 499" descr="http://www.abs.gov.au/icons/ecblank.gif">
          <a:extLst>
            <a:ext uri="{FF2B5EF4-FFF2-40B4-BE49-F238E27FC236}">
              <a16:creationId xmlns:a16="http://schemas.microsoft.com/office/drawing/2014/main" id="{C8B44E1F-341A-432F-BAF2-218E9F18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501" name="Picture 500" descr="http://www.abs.gov.au/icons/ecblank.gif">
          <a:extLst>
            <a:ext uri="{FF2B5EF4-FFF2-40B4-BE49-F238E27FC236}">
              <a16:creationId xmlns:a16="http://schemas.microsoft.com/office/drawing/2014/main" id="{C36C0C88-FBDB-46E1-8C04-D68EE92C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502" name="Picture 501" descr="http://www.abs.gov.au/icons/ecblank.gif">
          <a:extLst>
            <a:ext uri="{FF2B5EF4-FFF2-40B4-BE49-F238E27FC236}">
              <a16:creationId xmlns:a16="http://schemas.microsoft.com/office/drawing/2014/main" id="{DE972047-7B91-432A-9923-3C487595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503" name="Picture 502" descr="http://www.abs.gov.au/icons/ecblank.gif">
          <a:extLst>
            <a:ext uri="{FF2B5EF4-FFF2-40B4-BE49-F238E27FC236}">
              <a16:creationId xmlns:a16="http://schemas.microsoft.com/office/drawing/2014/main" id="{DA64C6A7-4909-4985-9272-8BEBCEA5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504" name="Picture 503" descr="http://www.abs.gov.au/icons/ecblank.gif">
          <a:extLst>
            <a:ext uri="{FF2B5EF4-FFF2-40B4-BE49-F238E27FC236}">
              <a16:creationId xmlns:a16="http://schemas.microsoft.com/office/drawing/2014/main" id="{D12E3971-A53B-4AEB-9612-94FEE005C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505" name="Picture 504" descr="http://www.abs.gov.au/icons/ecblank.gif">
          <a:extLst>
            <a:ext uri="{FF2B5EF4-FFF2-40B4-BE49-F238E27FC236}">
              <a16:creationId xmlns:a16="http://schemas.microsoft.com/office/drawing/2014/main" id="{5CFD4CBB-99A6-4ECE-8FE3-DFA7C1238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506" name="Picture 505" descr="http://www.abs.gov.au/icons/ecblank.gif">
          <a:extLst>
            <a:ext uri="{FF2B5EF4-FFF2-40B4-BE49-F238E27FC236}">
              <a16:creationId xmlns:a16="http://schemas.microsoft.com/office/drawing/2014/main" id="{6EAE9A28-68FB-417E-8DA5-4FCAEA94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507" name="Picture 506" descr="http://www.abs.gov.au/icons/ecblank.gif">
          <a:extLst>
            <a:ext uri="{FF2B5EF4-FFF2-40B4-BE49-F238E27FC236}">
              <a16:creationId xmlns:a16="http://schemas.microsoft.com/office/drawing/2014/main" id="{D2273749-6E66-4A5E-8471-1E73A327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508" name="Picture 507" descr="http://www.abs.gov.au/icons/ecblank.gif">
          <a:extLst>
            <a:ext uri="{FF2B5EF4-FFF2-40B4-BE49-F238E27FC236}">
              <a16:creationId xmlns:a16="http://schemas.microsoft.com/office/drawing/2014/main" id="{F3968CFC-BD42-4A60-ABC0-F39E9E23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509" name="Picture 508" descr="http://www.abs.gov.au/icons/ecblank.gif">
          <a:extLst>
            <a:ext uri="{FF2B5EF4-FFF2-40B4-BE49-F238E27FC236}">
              <a16:creationId xmlns:a16="http://schemas.microsoft.com/office/drawing/2014/main" id="{53B47E97-912F-453F-BC31-A7BDCA2B2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510" name="Picture 509" descr="http://www.abs.gov.au/icons/ecblank.gif">
          <a:extLst>
            <a:ext uri="{FF2B5EF4-FFF2-40B4-BE49-F238E27FC236}">
              <a16:creationId xmlns:a16="http://schemas.microsoft.com/office/drawing/2014/main" id="{BF23C778-BD43-49A2-9C31-AD72E5EB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511" name="Picture 510" descr="http://www.abs.gov.au/icons/ecblank.gif">
          <a:extLst>
            <a:ext uri="{FF2B5EF4-FFF2-40B4-BE49-F238E27FC236}">
              <a16:creationId xmlns:a16="http://schemas.microsoft.com/office/drawing/2014/main" id="{4BF6C6FB-3B18-485E-8B95-2A52CBD3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512" name="Picture 511" descr="http://www.abs.gov.au/icons/ecblank.gif">
          <a:extLst>
            <a:ext uri="{FF2B5EF4-FFF2-40B4-BE49-F238E27FC236}">
              <a16:creationId xmlns:a16="http://schemas.microsoft.com/office/drawing/2014/main" id="{23581652-4D70-4E1A-B630-4FD29257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513" name="Picture 512" descr="http://www.abs.gov.au/icons/ecblank.gif">
          <a:extLst>
            <a:ext uri="{FF2B5EF4-FFF2-40B4-BE49-F238E27FC236}">
              <a16:creationId xmlns:a16="http://schemas.microsoft.com/office/drawing/2014/main" id="{29DFCEF9-022D-47D2-9A8E-540259FA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514" name="Picture 513" descr="http://www.abs.gov.au/icons/ecblank.gif">
          <a:extLst>
            <a:ext uri="{FF2B5EF4-FFF2-40B4-BE49-F238E27FC236}">
              <a16:creationId xmlns:a16="http://schemas.microsoft.com/office/drawing/2014/main" id="{31442AF4-BEFD-4546-BA64-1D41836F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515" name="Picture 514" descr="http://www.abs.gov.au/icons/ecblank.gif">
          <a:extLst>
            <a:ext uri="{FF2B5EF4-FFF2-40B4-BE49-F238E27FC236}">
              <a16:creationId xmlns:a16="http://schemas.microsoft.com/office/drawing/2014/main" id="{FF40940A-E5F5-4280-AEC8-1D1108B8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516" name="Picture 515" descr="http://www.abs.gov.au/icons/ecblank.gif">
          <a:extLst>
            <a:ext uri="{FF2B5EF4-FFF2-40B4-BE49-F238E27FC236}">
              <a16:creationId xmlns:a16="http://schemas.microsoft.com/office/drawing/2014/main" id="{D3DCCA06-B3F9-4618-86F0-07C5392E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517" name="Picture 516" descr="http://www.abs.gov.au/icons/ecblank.gif">
          <a:extLst>
            <a:ext uri="{FF2B5EF4-FFF2-40B4-BE49-F238E27FC236}">
              <a16:creationId xmlns:a16="http://schemas.microsoft.com/office/drawing/2014/main" id="{A3EEF574-B796-4F85-9C0D-1EF799C9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518" name="Picture 517" descr="http://www.abs.gov.au/icons/ecblank.gif">
          <a:extLst>
            <a:ext uri="{FF2B5EF4-FFF2-40B4-BE49-F238E27FC236}">
              <a16:creationId xmlns:a16="http://schemas.microsoft.com/office/drawing/2014/main" id="{C9B45438-7F88-4B0F-82CF-CB8702463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519" name="Picture 108" descr="http://www.abs.gov.au/icons/ecblank.gif">
          <a:extLst>
            <a:ext uri="{FF2B5EF4-FFF2-40B4-BE49-F238E27FC236}">
              <a16:creationId xmlns:a16="http://schemas.microsoft.com/office/drawing/2014/main" id="{FCC2695F-0F8D-4857-A1CB-D6CDE3FF5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520" name="Picture 109" descr="http://www.abs.gov.au/icons/ecblank.gif">
          <a:extLst>
            <a:ext uri="{FF2B5EF4-FFF2-40B4-BE49-F238E27FC236}">
              <a16:creationId xmlns:a16="http://schemas.microsoft.com/office/drawing/2014/main" id="{4A560759-9706-4906-AD84-7D38880A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521" name="Picture 110" descr="http://www.abs.gov.au/icons/ecblank.gif">
          <a:extLst>
            <a:ext uri="{FF2B5EF4-FFF2-40B4-BE49-F238E27FC236}">
              <a16:creationId xmlns:a16="http://schemas.microsoft.com/office/drawing/2014/main" id="{91DE38B7-914E-4AB6-A83F-EB892606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522" name="Picture 111" descr="http://www.abs.gov.au/icons/ecblank.gif">
          <a:extLst>
            <a:ext uri="{FF2B5EF4-FFF2-40B4-BE49-F238E27FC236}">
              <a16:creationId xmlns:a16="http://schemas.microsoft.com/office/drawing/2014/main" id="{5A24391E-C54C-4F96-AB2F-770CE337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523" name="Picture 522" descr="http://www.abs.gov.au/icons/ecblank.gif">
          <a:extLst>
            <a:ext uri="{FF2B5EF4-FFF2-40B4-BE49-F238E27FC236}">
              <a16:creationId xmlns:a16="http://schemas.microsoft.com/office/drawing/2014/main" id="{372961AF-28EF-4F30-95F8-C9CBC7A6B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524" name="Picture 523" descr="http://www.abs.gov.au/icons/ecblank.gif">
          <a:extLst>
            <a:ext uri="{FF2B5EF4-FFF2-40B4-BE49-F238E27FC236}">
              <a16:creationId xmlns:a16="http://schemas.microsoft.com/office/drawing/2014/main" id="{3F65ECA7-7BE4-4D12-B662-5528B52C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525" name="Picture 524" descr="http://www.abs.gov.au/icons/ecblank.gif">
          <a:extLst>
            <a:ext uri="{FF2B5EF4-FFF2-40B4-BE49-F238E27FC236}">
              <a16:creationId xmlns:a16="http://schemas.microsoft.com/office/drawing/2014/main" id="{04D13D43-B12A-49FF-942E-F91EC679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526" name="Picture 525" descr="http://www.abs.gov.au/icons/ecblank.gif">
          <a:extLst>
            <a:ext uri="{FF2B5EF4-FFF2-40B4-BE49-F238E27FC236}">
              <a16:creationId xmlns:a16="http://schemas.microsoft.com/office/drawing/2014/main" id="{40C2009C-4917-4B1A-9772-2D9F799A9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527" name="Picture 526" descr="http://www.abs.gov.au/icons/ecblank.gif">
          <a:extLst>
            <a:ext uri="{FF2B5EF4-FFF2-40B4-BE49-F238E27FC236}">
              <a16:creationId xmlns:a16="http://schemas.microsoft.com/office/drawing/2014/main" id="{D75E5B56-00AD-46F9-A4D6-2688DDC9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528" name="Picture 527" descr="http://www.abs.gov.au/icons/ecblank.gif">
          <a:extLst>
            <a:ext uri="{FF2B5EF4-FFF2-40B4-BE49-F238E27FC236}">
              <a16:creationId xmlns:a16="http://schemas.microsoft.com/office/drawing/2014/main" id="{D9AE0AB1-AD1D-4C78-AD8D-7D569029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529" name="Picture 528" descr="http://www.abs.gov.au/icons/ecblank.gif">
          <a:extLst>
            <a:ext uri="{FF2B5EF4-FFF2-40B4-BE49-F238E27FC236}">
              <a16:creationId xmlns:a16="http://schemas.microsoft.com/office/drawing/2014/main" id="{63E77196-2FE6-4AD7-A6B6-ADBC1381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530" name="Picture 529" descr="http://www.abs.gov.au/icons/ecblank.gif">
          <a:extLst>
            <a:ext uri="{FF2B5EF4-FFF2-40B4-BE49-F238E27FC236}">
              <a16:creationId xmlns:a16="http://schemas.microsoft.com/office/drawing/2014/main" id="{3607C027-F533-40FC-BA38-C9EBD0D4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531" name="Picture 108" descr="http://www.abs.gov.au/icons/ecblank.gif">
          <a:extLst>
            <a:ext uri="{FF2B5EF4-FFF2-40B4-BE49-F238E27FC236}">
              <a16:creationId xmlns:a16="http://schemas.microsoft.com/office/drawing/2014/main" id="{91C58A85-DB38-47D7-8F12-7C29A538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532" name="Picture 109" descr="http://www.abs.gov.au/icons/ecblank.gif">
          <a:extLst>
            <a:ext uri="{FF2B5EF4-FFF2-40B4-BE49-F238E27FC236}">
              <a16:creationId xmlns:a16="http://schemas.microsoft.com/office/drawing/2014/main" id="{BCAFF614-D539-4F76-B134-EE7C991F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533" name="Picture 110" descr="http://www.abs.gov.au/icons/ecblank.gif">
          <a:extLst>
            <a:ext uri="{FF2B5EF4-FFF2-40B4-BE49-F238E27FC236}">
              <a16:creationId xmlns:a16="http://schemas.microsoft.com/office/drawing/2014/main" id="{9A326085-E5A5-43BF-A90B-6505BAE9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534" name="Picture 111" descr="http://www.abs.gov.au/icons/ecblank.gif">
          <a:extLst>
            <a:ext uri="{FF2B5EF4-FFF2-40B4-BE49-F238E27FC236}">
              <a16:creationId xmlns:a16="http://schemas.microsoft.com/office/drawing/2014/main" id="{B39F9FA4-DC8A-4A48-ADE6-2D6C1B23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868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575" name="Picture 574" descr="http://www.abs.gov.au/icons/ecblank.gif">
          <a:extLst>
            <a:ext uri="{FF2B5EF4-FFF2-40B4-BE49-F238E27FC236}">
              <a16:creationId xmlns:a16="http://schemas.microsoft.com/office/drawing/2014/main" id="{9B2E4828-AD94-47A7-BC02-68E453F7C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576" name="Picture 575" descr="http://www.abs.gov.au/icons/ecblank.gif">
          <a:extLst>
            <a:ext uri="{FF2B5EF4-FFF2-40B4-BE49-F238E27FC236}">
              <a16:creationId xmlns:a16="http://schemas.microsoft.com/office/drawing/2014/main" id="{4E4A0C55-3908-4A5C-9AAA-4623DB68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577" name="Picture 576" descr="http://www.abs.gov.au/icons/ecblank.gif">
          <a:extLst>
            <a:ext uri="{FF2B5EF4-FFF2-40B4-BE49-F238E27FC236}">
              <a16:creationId xmlns:a16="http://schemas.microsoft.com/office/drawing/2014/main" id="{73C16052-A731-40B6-BA70-56D86A3A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578" name="Picture 577" descr="http://www.abs.gov.au/icons/ecblank.gif">
          <a:extLst>
            <a:ext uri="{FF2B5EF4-FFF2-40B4-BE49-F238E27FC236}">
              <a16:creationId xmlns:a16="http://schemas.microsoft.com/office/drawing/2014/main" id="{C1517227-7FC9-4D55-B0C0-7C00F8E7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579" name="Picture 578" descr="http://www.abs.gov.au/icons/ecblank.gif">
          <a:extLst>
            <a:ext uri="{FF2B5EF4-FFF2-40B4-BE49-F238E27FC236}">
              <a16:creationId xmlns:a16="http://schemas.microsoft.com/office/drawing/2014/main" id="{5F49CBA1-1B81-4490-A398-542BF132E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580" name="Picture 579" descr="http://www.abs.gov.au/icons/ecblank.gif">
          <a:extLst>
            <a:ext uri="{FF2B5EF4-FFF2-40B4-BE49-F238E27FC236}">
              <a16:creationId xmlns:a16="http://schemas.microsoft.com/office/drawing/2014/main" id="{6EF489D6-DC30-45E0-BFCC-EC6940AE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581" name="Picture 580" descr="http://www.abs.gov.au/icons/ecblank.gif">
          <a:extLst>
            <a:ext uri="{FF2B5EF4-FFF2-40B4-BE49-F238E27FC236}">
              <a16:creationId xmlns:a16="http://schemas.microsoft.com/office/drawing/2014/main" id="{AD500611-AF1F-4660-AE0A-1BA877D7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582" name="Picture 581" descr="http://www.abs.gov.au/icons/ecblank.gif">
          <a:extLst>
            <a:ext uri="{FF2B5EF4-FFF2-40B4-BE49-F238E27FC236}">
              <a16:creationId xmlns:a16="http://schemas.microsoft.com/office/drawing/2014/main" id="{8BF08A05-F0FA-4889-BB1E-55BF153D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583" name="Picture 582" descr="http://www.abs.gov.au/icons/ecblank.gif">
          <a:extLst>
            <a:ext uri="{FF2B5EF4-FFF2-40B4-BE49-F238E27FC236}">
              <a16:creationId xmlns:a16="http://schemas.microsoft.com/office/drawing/2014/main" id="{E41FF0A7-BCB6-470E-9DD2-4683B681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1055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584" name="Picture 583" descr="http://www.abs.gov.au/icons/ecblank.gif">
          <a:extLst>
            <a:ext uri="{FF2B5EF4-FFF2-40B4-BE49-F238E27FC236}">
              <a16:creationId xmlns:a16="http://schemas.microsoft.com/office/drawing/2014/main" id="{72D5B835-C934-4AEB-A9AA-2136341C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1055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585" name="Picture 584" descr="http://www.abs.gov.au/icons/ecblank.gif">
          <a:extLst>
            <a:ext uri="{FF2B5EF4-FFF2-40B4-BE49-F238E27FC236}">
              <a16:creationId xmlns:a16="http://schemas.microsoft.com/office/drawing/2014/main" id="{807CB57A-230C-4A8A-BF85-FECF2807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10552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586" name="Picture 585" descr="http://www.abs.gov.au/icons/ecblank.gif">
          <a:extLst>
            <a:ext uri="{FF2B5EF4-FFF2-40B4-BE49-F238E27FC236}">
              <a16:creationId xmlns:a16="http://schemas.microsoft.com/office/drawing/2014/main" id="{73B3DAF3-B40E-4BF5-884D-C2C8B235B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10552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587" name="Picture 108" descr="http://www.abs.gov.au/icons/ecblank.gif">
          <a:extLst>
            <a:ext uri="{FF2B5EF4-FFF2-40B4-BE49-F238E27FC236}">
              <a16:creationId xmlns:a16="http://schemas.microsoft.com/office/drawing/2014/main" id="{63FD0778-563A-4B0D-865F-ECAF475A4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588" name="Picture 109" descr="http://www.abs.gov.au/icons/ecblank.gif">
          <a:extLst>
            <a:ext uri="{FF2B5EF4-FFF2-40B4-BE49-F238E27FC236}">
              <a16:creationId xmlns:a16="http://schemas.microsoft.com/office/drawing/2014/main" id="{FB87CF3E-C2F6-4A6E-B23D-5DBA75E0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589" name="Picture 110" descr="http://www.abs.gov.au/icons/ecblank.gif">
          <a:extLst>
            <a:ext uri="{FF2B5EF4-FFF2-40B4-BE49-F238E27FC236}">
              <a16:creationId xmlns:a16="http://schemas.microsoft.com/office/drawing/2014/main" id="{D6B13DB3-91F9-4B35-B2A6-666B3B12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590" name="Picture 111" descr="http://www.abs.gov.au/icons/ecblank.gif">
          <a:extLst>
            <a:ext uri="{FF2B5EF4-FFF2-40B4-BE49-F238E27FC236}">
              <a16:creationId xmlns:a16="http://schemas.microsoft.com/office/drawing/2014/main" id="{F30D31E4-2CDB-4F92-A680-7E947238E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591" name="Picture 590" descr="http://www.abs.gov.au/icons/ecblank.gif">
          <a:extLst>
            <a:ext uri="{FF2B5EF4-FFF2-40B4-BE49-F238E27FC236}">
              <a16:creationId xmlns:a16="http://schemas.microsoft.com/office/drawing/2014/main" id="{31E29841-E6A4-4827-BCFB-659CA080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592" name="Picture 591" descr="http://www.abs.gov.au/icons/ecblank.gif">
          <a:extLst>
            <a:ext uri="{FF2B5EF4-FFF2-40B4-BE49-F238E27FC236}">
              <a16:creationId xmlns:a16="http://schemas.microsoft.com/office/drawing/2014/main" id="{17049BD3-2FE8-4284-9E93-3E421E24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593" name="Picture 592" descr="http://www.abs.gov.au/icons/ecblank.gif">
          <a:extLst>
            <a:ext uri="{FF2B5EF4-FFF2-40B4-BE49-F238E27FC236}">
              <a16:creationId xmlns:a16="http://schemas.microsoft.com/office/drawing/2014/main" id="{DC7820A8-DC63-402F-A173-28446BB3C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594" name="Picture 593" descr="http://www.abs.gov.au/icons/ecblank.gif">
          <a:extLst>
            <a:ext uri="{FF2B5EF4-FFF2-40B4-BE49-F238E27FC236}">
              <a16:creationId xmlns:a16="http://schemas.microsoft.com/office/drawing/2014/main" id="{57F9B69B-9A24-436A-8D86-9AF13FE4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595" name="Picture 594" descr="http://www.abs.gov.au/icons/ecblank.gif">
          <a:extLst>
            <a:ext uri="{FF2B5EF4-FFF2-40B4-BE49-F238E27FC236}">
              <a16:creationId xmlns:a16="http://schemas.microsoft.com/office/drawing/2014/main" id="{B5B6ED81-A84C-4B8C-B45C-D2292B63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596" name="Picture 595" descr="http://www.abs.gov.au/icons/ecblank.gif">
          <a:extLst>
            <a:ext uri="{FF2B5EF4-FFF2-40B4-BE49-F238E27FC236}">
              <a16:creationId xmlns:a16="http://schemas.microsoft.com/office/drawing/2014/main" id="{66457CE9-299B-4C12-9DA1-A6E0AB343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597" name="Picture 596" descr="http://www.abs.gov.au/icons/ecblank.gif">
          <a:extLst>
            <a:ext uri="{FF2B5EF4-FFF2-40B4-BE49-F238E27FC236}">
              <a16:creationId xmlns:a16="http://schemas.microsoft.com/office/drawing/2014/main" id="{206635A0-9DBA-4F26-8B68-0F85DB88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598" name="Picture 597" descr="http://www.abs.gov.au/icons/ecblank.gif">
          <a:extLst>
            <a:ext uri="{FF2B5EF4-FFF2-40B4-BE49-F238E27FC236}">
              <a16:creationId xmlns:a16="http://schemas.microsoft.com/office/drawing/2014/main" id="{3E3083CB-BA68-4D40-A0D8-40DE3D57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599" name="Picture 598" descr="http://www.abs.gov.au/icons/ecblank.gif">
          <a:extLst>
            <a:ext uri="{FF2B5EF4-FFF2-40B4-BE49-F238E27FC236}">
              <a16:creationId xmlns:a16="http://schemas.microsoft.com/office/drawing/2014/main" id="{70764EFF-B9E4-4EC9-90B8-EFBD2CE4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1055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79</xdr:row>
      <xdr:rowOff>0</xdr:rowOff>
    </xdr:from>
    <xdr:to>
      <xdr:col>8</xdr:col>
      <xdr:colOff>0</xdr:colOff>
      <xdr:row>79</xdr:row>
      <xdr:rowOff>9525</xdr:rowOff>
    </xdr:to>
    <xdr:pic>
      <xdr:nvPicPr>
        <xdr:cNvPr id="600" name="Picture 599" descr="http://www.abs.gov.au/icons/ecblank.gif">
          <a:extLst>
            <a:ext uri="{FF2B5EF4-FFF2-40B4-BE49-F238E27FC236}">
              <a16:creationId xmlns:a16="http://schemas.microsoft.com/office/drawing/2014/main" id="{8A86AEA3-91ED-41A6-BCE8-22C7C0C9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1055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601" name="Picture 600" descr="http://www.abs.gov.au/icons/ecblank.gif">
          <a:extLst>
            <a:ext uri="{FF2B5EF4-FFF2-40B4-BE49-F238E27FC236}">
              <a16:creationId xmlns:a16="http://schemas.microsoft.com/office/drawing/2014/main" id="{CB46B7A5-5BC3-4B23-93A3-CE75A34D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10552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95</xdr:row>
      <xdr:rowOff>0</xdr:rowOff>
    </xdr:from>
    <xdr:to>
      <xdr:col>8</xdr:col>
      <xdr:colOff>0</xdr:colOff>
      <xdr:row>95</xdr:row>
      <xdr:rowOff>9525</xdr:rowOff>
    </xdr:to>
    <xdr:pic>
      <xdr:nvPicPr>
        <xdr:cNvPr id="602" name="Picture 601" descr="http://www.abs.gov.au/icons/ecblank.gif">
          <a:extLst>
            <a:ext uri="{FF2B5EF4-FFF2-40B4-BE49-F238E27FC236}">
              <a16:creationId xmlns:a16="http://schemas.microsoft.com/office/drawing/2014/main" id="{1C95DC99-6D4D-4E45-8391-3CF5E819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10552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603" name="Picture 108" descr="http://www.abs.gov.au/icons/ecblank.gif">
          <a:extLst>
            <a:ext uri="{FF2B5EF4-FFF2-40B4-BE49-F238E27FC236}">
              <a16:creationId xmlns:a16="http://schemas.microsoft.com/office/drawing/2014/main" id="{F740E8D6-1A5C-4357-9E55-2205E51D9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604" name="Picture 109" descr="http://www.abs.gov.au/icons/ecblank.gif">
          <a:extLst>
            <a:ext uri="{FF2B5EF4-FFF2-40B4-BE49-F238E27FC236}">
              <a16:creationId xmlns:a16="http://schemas.microsoft.com/office/drawing/2014/main" id="{3BB4BEA0-3774-44AB-82D3-3690AF52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605" name="Picture 110" descr="http://www.abs.gov.au/icons/ecblank.gif">
          <a:extLst>
            <a:ext uri="{FF2B5EF4-FFF2-40B4-BE49-F238E27FC236}">
              <a16:creationId xmlns:a16="http://schemas.microsoft.com/office/drawing/2014/main" id="{31C35A40-25FE-4FDA-B97A-89D64CE22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606" name="Picture 111" descr="http://www.abs.gov.au/icons/ecblank.gif">
          <a:extLst>
            <a:ext uri="{FF2B5EF4-FFF2-40B4-BE49-F238E27FC236}">
              <a16:creationId xmlns:a16="http://schemas.microsoft.com/office/drawing/2014/main" id="{648DAB7C-D4EB-4CA7-8E3C-0ED3E1C4E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2917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607" name="Picture 606" descr="http://www.abs.gov.au/icons/ecblank.gif">
          <a:extLst>
            <a:ext uri="{FF2B5EF4-FFF2-40B4-BE49-F238E27FC236}">
              <a16:creationId xmlns:a16="http://schemas.microsoft.com/office/drawing/2014/main" id="{756CEF42-F399-4C2E-B990-A7EE0AA2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914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608" name="Picture 607" descr="http://www.abs.gov.au/icons/ecblank.gif">
          <a:extLst>
            <a:ext uri="{FF2B5EF4-FFF2-40B4-BE49-F238E27FC236}">
              <a16:creationId xmlns:a16="http://schemas.microsoft.com/office/drawing/2014/main" id="{9B53B186-AB05-4053-AF12-AC15580A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914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609" name="Picture 608" descr="http://www.abs.gov.au/icons/ecblank.gif">
          <a:extLst>
            <a:ext uri="{FF2B5EF4-FFF2-40B4-BE49-F238E27FC236}">
              <a16:creationId xmlns:a16="http://schemas.microsoft.com/office/drawing/2014/main" id="{39054E59-ECA0-4A6E-9CEF-82DA70CD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914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610" name="Picture 609" descr="http://www.abs.gov.au/icons/ecblank.gif">
          <a:extLst>
            <a:ext uri="{FF2B5EF4-FFF2-40B4-BE49-F238E27FC236}">
              <a16:creationId xmlns:a16="http://schemas.microsoft.com/office/drawing/2014/main" id="{C60D6319-CF1A-4B55-8BF7-54D6E8F6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914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611" name="Picture 610" descr="http://www.abs.gov.au/icons/ecblank.gif">
          <a:extLst>
            <a:ext uri="{FF2B5EF4-FFF2-40B4-BE49-F238E27FC236}">
              <a16:creationId xmlns:a16="http://schemas.microsoft.com/office/drawing/2014/main" id="{13B95922-80BB-46B6-8D0F-7E6D04BDE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914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612" name="Picture 611" descr="http://www.abs.gov.au/icons/ecblank.gif">
          <a:extLst>
            <a:ext uri="{FF2B5EF4-FFF2-40B4-BE49-F238E27FC236}">
              <a16:creationId xmlns:a16="http://schemas.microsoft.com/office/drawing/2014/main" id="{F7B5B668-DB2B-4913-AC24-DD2A1BF1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914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613" name="Picture 612" descr="http://www.abs.gov.au/icons/ecblank.gif">
          <a:extLst>
            <a:ext uri="{FF2B5EF4-FFF2-40B4-BE49-F238E27FC236}">
              <a16:creationId xmlns:a16="http://schemas.microsoft.com/office/drawing/2014/main" id="{53E0E466-4479-474A-9AB9-4B2006C3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914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614" name="Picture 613" descr="http://www.abs.gov.au/icons/ecblank.gif">
          <a:extLst>
            <a:ext uri="{FF2B5EF4-FFF2-40B4-BE49-F238E27FC236}">
              <a16:creationId xmlns:a16="http://schemas.microsoft.com/office/drawing/2014/main" id="{AD153E80-857F-4D65-9CB3-3DC5007E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3914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615" name="Picture 614" descr="http://www.abs.gov.au/icons/ecblank.gif">
          <a:extLst>
            <a:ext uri="{FF2B5EF4-FFF2-40B4-BE49-F238E27FC236}">
              <a16:creationId xmlns:a16="http://schemas.microsoft.com/office/drawing/2014/main" id="{14EBC22E-15C2-48E1-9067-C78B5E6D1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38700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616" name="Picture 615" descr="http://www.abs.gov.au/icons/ecblank.gif">
          <a:extLst>
            <a:ext uri="{FF2B5EF4-FFF2-40B4-BE49-F238E27FC236}">
              <a16:creationId xmlns:a16="http://schemas.microsoft.com/office/drawing/2014/main" id="{CC886E0F-9964-400B-8B60-234A615E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38700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617" name="Picture 616" descr="http://www.abs.gov.au/icons/ecblank.gif">
          <a:extLst>
            <a:ext uri="{FF2B5EF4-FFF2-40B4-BE49-F238E27FC236}">
              <a16:creationId xmlns:a16="http://schemas.microsoft.com/office/drawing/2014/main" id="{DD5EF181-45AE-4DEA-A03D-731BE80A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38700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618" name="Picture 617" descr="http://www.abs.gov.au/icons/ecblank.gif">
          <a:extLst>
            <a:ext uri="{FF2B5EF4-FFF2-40B4-BE49-F238E27FC236}">
              <a16:creationId xmlns:a16="http://schemas.microsoft.com/office/drawing/2014/main" id="{2554E4FD-4947-487E-A5F8-D1955F999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38700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619" name="Picture 618" descr="http://www.abs.gov.au/icons/ecblank.gif">
          <a:extLst>
            <a:ext uri="{FF2B5EF4-FFF2-40B4-BE49-F238E27FC236}">
              <a16:creationId xmlns:a16="http://schemas.microsoft.com/office/drawing/2014/main" id="{CEB344A3-8AE6-4CD7-BF22-E8D39AA6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838700" y="15440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79</xdr:row>
      <xdr:rowOff>171450</xdr:rowOff>
    </xdr:from>
    <xdr:to>
      <xdr:col>7</xdr:col>
      <xdr:colOff>9525</xdr:colOff>
      <xdr:row>79</xdr:row>
      <xdr:rowOff>180975</xdr:rowOff>
    </xdr:to>
    <xdr:pic>
      <xdr:nvPicPr>
        <xdr:cNvPr id="620" name="Picture 619" descr="http://www.abs.gov.au/icons/ecblank.gif">
          <a:extLst>
            <a:ext uri="{FF2B5EF4-FFF2-40B4-BE49-F238E27FC236}">
              <a16:creationId xmlns:a16="http://schemas.microsoft.com/office/drawing/2014/main" id="{DB64F701-48BF-49B7-8F72-05FF0A7F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34025" y="16011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621" name="Picture 620" descr="http://www.abs.gov.au/icons/ecblank.gif">
          <a:extLst>
            <a:ext uri="{FF2B5EF4-FFF2-40B4-BE49-F238E27FC236}">
              <a16:creationId xmlns:a16="http://schemas.microsoft.com/office/drawing/2014/main" id="{FF9216EC-13CB-400F-8853-56600901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622" name="Picture 621" descr="http://www.abs.gov.au/icons/ecblank.gif">
          <a:extLst>
            <a:ext uri="{FF2B5EF4-FFF2-40B4-BE49-F238E27FC236}">
              <a16:creationId xmlns:a16="http://schemas.microsoft.com/office/drawing/2014/main" id="{B3E1D8E3-06EA-41F2-98A7-CAD2DD8A0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623" name="Picture 622" descr="http://www.abs.gov.au/icons/ecblank.gif">
          <a:extLst>
            <a:ext uri="{FF2B5EF4-FFF2-40B4-BE49-F238E27FC236}">
              <a16:creationId xmlns:a16="http://schemas.microsoft.com/office/drawing/2014/main" id="{217FE68E-E5A4-47FE-9A3A-41D6D6C8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624" name="Picture 623" descr="http://www.abs.gov.au/icons/ecblank.gif">
          <a:extLst>
            <a:ext uri="{FF2B5EF4-FFF2-40B4-BE49-F238E27FC236}">
              <a16:creationId xmlns:a16="http://schemas.microsoft.com/office/drawing/2014/main" id="{B7593088-33C7-47D9-878F-A9D81CD1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625" name="Picture 624" descr="http://www.abs.gov.au/icons/ecblank.gif">
          <a:extLst>
            <a:ext uri="{FF2B5EF4-FFF2-40B4-BE49-F238E27FC236}">
              <a16:creationId xmlns:a16="http://schemas.microsoft.com/office/drawing/2014/main" id="{38F899D3-5729-432D-915D-A3E97E3F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626" name="Picture 625" descr="http://www.abs.gov.au/icons/ecblank.gif">
          <a:extLst>
            <a:ext uri="{FF2B5EF4-FFF2-40B4-BE49-F238E27FC236}">
              <a16:creationId xmlns:a16="http://schemas.microsoft.com/office/drawing/2014/main" id="{F1DB62F5-DDCD-4F55-8BC5-00DA1C8D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627" name="Picture 626" descr="http://www.abs.gov.au/icons/ecblank.gif">
          <a:extLst>
            <a:ext uri="{FF2B5EF4-FFF2-40B4-BE49-F238E27FC236}">
              <a16:creationId xmlns:a16="http://schemas.microsoft.com/office/drawing/2014/main" id="{C19D3229-4A54-4C08-949E-180D3E8F7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628" name="Picture 627" descr="http://www.abs.gov.au/icons/ecblank.gif">
          <a:extLst>
            <a:ext uri="{FF2B5EF4-FFF2-40B4-BE49-F238E27FC236}">
              <a16:creationId xmlns:a16="http://schemas.microsoft.com/office/drawing/2014/main" id="{B251B6CE-DACC-4A82-AD8D-D1AE98E3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9525</xdr:rowOff>
    </xdr:to>
    <xdr:pic>
      <xdr:nvPicPr>
        <xdr:cNvPr id="629" name="Picture 628" descr="http://www.abs.gov.au/icons/ecblank.gif">
          <a:extLst>
            <a:ext uri="{FF2B5EF4-FFF2-40B4-BE49-F238E27FC236}">
              <a16:creationId xmlns:a16="http://schemas.microsoft.com/office/drawing/2014/main" id="{D674D46C-CF04-488F-ABE6-B484D1FB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6602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9525</xdr:rowOff>
    </xdr:to>
    <xdr:pic>
      <xdr:nvPicPr>
        <xdr:cNvPr id="630" name="Picture 629" descr="http://www.abs.gov.au/icons/ecblank.gif">
          <a:extLst>
            <a:ext uri="{FF2B5EF4-FFF2-40B4-BE49-F238E27FC236}">
              <a16:creationId xmlns:a16="http://schemas.microsoft.com/office/drawing/2014/main" id="{3E938FD5-B849-4761-89D5-044527B2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6602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9525</xdr:rowOff>
    </xdr:to>
    <xdr:pic>
      <xdr:nvPicPr>
        <xdr:cNvPr id="631" name="Picture 630" descr="http://www.abs.gov.au/icons/ecblank.gif">
          <a:extLst>
            <a:ext uri="{FF2B5EF4-FFF2-40B4-BE49-F238E27FC236}">
              <a16:creationId xmlns:a16="http://schemas.microsoft.com/office/drawing/2014/main" id="{9DE43EC2-7E28-4275-B66D-B8938487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965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9525</xdr:rowOff>
    </xdr:to>
    <xdr:pic>
      <xdr:nvPicPr>
        <xdr:cNvPr id="632" name="Picture 631" descr="http://www.abs.gov.au/icons/ecblank.gif">
          <a:extLst>
            <a:ext uri="{FF2B5EF4-FFF2-40B4-BE49-F238E27FC236}">
              <a16:creationId xmlns:a16="http://schemas.microsoft.com/office/drawing/2014/main" id="{609B7459-ADB8-44E4-A50E-84F16DA63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965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633" name="Picture 108" descr="http://www.abs.gov.au/icons/ecblank.gif">
          <a:extLst>
            <a:ext uri="{FF2B5EF4-FFF2-40B4-BE49-F238E27FC236}">
              <a16:creationId xmlns:a16="http://schemas.microsoft.com/office/drawing/2014/main" id="{03A37FC6-AEFD-4B8D-87E1-56F3A2BB4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9525</xdr:rowOff>
    </xdr:to>
    <xdr:pic>
      <xdr:nvPicPr>
        <xdr:cNvPr id="634" name="Picture 109" descr="http://www.abs.gov.au/icons/ecblank.gif">
          <a:extLst>
            <a:ext uri="{FF2B5EF4-FFF2-40B4-BE49-F238E27FC236}">
              <a16:creationId xmlns:a16="http://schemas.microsoft.com/office/drawing/2014/main" id="{7991C394-6A46-48F0-8984-B69121B4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635" name="Picture 110" descr="http://www.abs.gov.au/icons/ecblank.gif">
          <a:extLst>
            <a:ext uri="{FF2B5EF4-FFF2-40B4-BE49-F238E27FC236}">
              <a16:creationId xmlns:a16="http://schemas.microsoft.com/office/drawing/2014/main" id="{C390DEC3-2FD3-4A81-83D1-6AC606A2C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9525</xdr:rowOff>
    </xdr:to>
    <xdr:pic>
      <xdr:nvPicPr>
        <xdr:cNvPr id="636" name="Picture 111" descr="http://www.abs.gov.au/icons/ecblank.gif">
          <a:extLst>
            <a:ext uri="{FF2B5EF4-FFF2-40B4-BE49-F238E27FC236}">
              <a16:creationId xmlns:a16="http://schemas.microsoft.com/office/drawing/2014/main" id="{ED812895-AC86-4C9A-AB60-0C5C8DB4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637" name="Picture 636" descr="http://www.abs.gov.au/icons/ecblank.gif">
          <a:extLst>
            <a:ext uri="{FF2B5EF4-FFF2-40B4-BE49-F238E27FC236}">
              <a16:creationId xmlns:a16="http://schemas.microsoft.com/office/drawing/2014/main" id="{3964E459-A27B-43D3-911E-C4A6F645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638" name="Picture 637" descr="http://www.abs.gov.au/icons/ecblank.gif">
          <a:extLst>
            <a:ext uri="{FF2B5EF4-FFF2-40B4-BE49-F238E27FC236}">
              <a16:creationId xmlns:a16="http://schemas.microsoft.com/office/drawing/2014/main" id="{C494D08B-1758-4ECA-9AAC-30261FDB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639" name="Picture 638" descr="http://www.abs.gov.au/icons/ecblank.gif">
          <a:extLst>
            <a:ext uri="{FF2B5EF4-FFF2-40B4-BE49-F238E27FC236}">
              <a16:creationId xmlns:a16="http://schemas.microsoft.com/office/drawing/2014/main" id="{98D138EE-533C-4D36-AC4C-4926532F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640" name="Picture 639" descr="http://www.abs.gov.au/icons/ecblank.gif">
          <a:extLst>
            <a:ext uri="{FF2B5EF4-FFF2-40B4-BE49-F238E27FC236}">
              <a16:creationId xmlns:a16="http://schemas.microsoft.com/office/drawing/2014/main" id="{7A7BC071-4AEA-451B-A7A4-4C920723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641" name="Picture 640" descr="http://www.abs.gov.au/icons/ecblank.gif">
          <a:extLst>
            <a:ext uri="{FF2B5EF4-FFF2-40B4-BE49-F238E27FC236}">
              <a16:creationId xmlns:a16="http://schemas.microsoft.com/office/drawing/2014/main" id="{75DFFE99-FE86-48EB-9867-43C0973A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642" name="Picture 641" descr="http://www.abs.gov.au/icons/ecblank.gif">
          <a:extLst>
            <a:ext uri="{FF2B5EF4-FFF2-40B4-BE49-F238E27FC236}">
              <a16:creationId xmlns:a16="http://schemas.microsoft.com/office/drawing/2014/main" id="{ACFAB44F-0C3A-4762-B46C-33F8A44B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643" name="Picture 642" descr="http://www.abs.gov.au/icons/ecblank.gif">
          <a:extLst>
            <a:ext uri="{FF2B5EF4-FFF2-40B4-BE49-F238E27FC236}">
              <a16:creationId xmlns:a16="http://schemas.microsoft.com/office/drawing/2014/main" id="{68B8DCA3-7982-41C4-894F-AFFAAE48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644" name="Picture 643" descr="http://www.abs.gov.au/icons/ecblank.gif">
          <a:extLst>
            <a:ext uri="{FF2B5EF4-FFF2-40B4-BE49-F238E27FC236}">
              <a16:creationId xmlns:a16="http://schemas.microsoft.com/office/drawing/2014/main" id="{FBB355F6-BBC8-49C4-B019-FFCED810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645" name="Picture 644" descr="http://www.abs.gov.au/icons/ecblank.gif">
          <a:extLst>
            <a:ext uri="{FF2B5EF4-FFF2-40B4-BE49-F238E27FC236}">
              <a16:creationId xmlns:a16="http://schemas.microsoft.com/office/drawing/2014/main" id="{A9A6458E-DE3E-427B-A8EC-11240A57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646" name="Picture 645" descr="http://www.abs.gov.au/icons/ecblank.gif">
          <a:extLst>
            <a:ext uri="{FF2B5EF4-FFF2-40B4-BE49-F238E27FC236}">
              <a16:creationId xmlns:a16="http://schemas.microsoft.com/office/drawing/2014/main" id="{E83E3704-5016-4146-99B5-C2E7FCE0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647" name="Picture 646" descr="http://www.abs.gov.au/icons/ecblank.gif">
          <a:extLst>
            <a:ext uri="{FF2B5EF4-FFF2-40B4-BE49-F238E27FC236}">
              <a16:creationId xmlns:a16="http://schemas.microsoft.com/office/drawing/2014/main" id="{A75CDE6E-F548-4169-BB4B-59CB6275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648" name="Picture 647" descr="http://www.abs.gov.au/icons/ecblank.gif">
          <a:extLst>
            <a:ext uri="{FF2B5EF4-FFF2-40B4-BE49-F238E27FC236}">
              <a16:creationId xmlns:a16="http://schemas.microsoft.com/office/drawing/2014/main" id="{35F739D5-1164-4A2D-AE83-D58E9A62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649" name="Picture 108" descr="http://www.abs.gov.au/icons/ecblank.gif">
          <a:extLst>
            <a:ext uri="{FF2B5EF4-FFF2-40B4-BE49-F238E27FC236}">
              <a16:creationId xmlns:a16="http://schemas.microsoft.com/office/drawing/2014/main" id="{58F957DD-A4D0-42F7-BF7E-89501C8B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0</xdr:colOff>
      <xdr:row>81</xdr:row>
      <xdr:rowOff>9525</xdr:rowOff>
    </xdr:to>
    <xdr:pic>
      <xdr:nvPicPr>
        <xdr:cNvPr id="650" name="Picture 109" descr="http://www.abs.gov.au/icons/ecblank.gif">
          <a:extLst>
            <a:ext uri="{FF2B5EF4-FFF2-40B4-BE49-F238E27FC236}">
              <a16:creationId xmlns:a16="http://schemas.microsoft.com/office/drawing/2014/main" id="{5A6CE5CB-333C-4021-A9E4-9B18937A0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651" name="Picture 110" descr="http://www.abs.gov.au/icons/ecblank.gif">
          <a:extLst>
            <a:ext uri="{FF2B5EF4-FFF2-40B4-BE49-F238E27FC236}">
              <a16:creationId xmlns:a16="http://schemas.microsoft.com/office/drawing/2014/main" id="{FD2D759F-47AE-41AC-8DBC-BDA8357E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9525</xdr:rowOff>
    </xdr:to>
    <xdr:pic>
      <xdr:nvPicPr>
        <xdr:cNvPr id="652" name="Picture 111" descr="http://www.abs.gov.au/icons/ecblank.gif">
          <a:extLst>
            <a:ext uri="{FF2B5EF4-FFF2-40B4-BE49-F238E27FC236}">
              <a16:creationId xmlns:a16="http://schemas.microsoft.com/office/drawing/2014/main" id="{9EFA7602-D60B-4218-B5BA-5DC303AE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653" name="Picture 652" descr="http://www.abs.gov.au/icons/ecblank.gif">
          <a:extLst>
            <a:ext uri="{FF2B5EF4-FFF2-40B4-BE49-F238E27FC236}">
              <a16:creationId xmlns:a16="http://schemas.microsoft.com/office/drawing/2014/main" id="{286D919A-4DF1-41AA-BFCB-3E3F17A0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654" name="Picture 653" descr="http://www.abs.gov.au/icons/ecblank.gif">
          <a:extLst>
            <a:ext uri="{FF2B5EF4-FFF2-40B4-BE49-F238E27FC236}">
              <a16:creationId xmlns:a16="http://schemas.microsoft.com/office/drawing/2014/main" id="{42A80FD6-7C96-4649-A0F6-200FCCD6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655" name="Picture 654" descr="http://www.abs.gov.au/icons/ecblank.gif">
          <a:extLst>
            <a:ext uri="{FF2B5EF4-FFF2-40B4-BE49-F238E27FC236}">
              <a16:creationId xmlns:a16="http://schemas.microsoft.com/office/drawing/2014/main" id="{403D7776-85FB-4784-B48E-F5B6D1F0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656" name="Picture 655" descr="http://www.abs.gov.au/icons/ecblank.gif">
          <a:extLst>
            <a:ext uri="{FF2B5EF4-FFF2-40B4-BE49-F238E27FC236}">
              <a16:creationId xmlns:a16="http://schemas.microsoft.com/office/drawing/2014/main" id="{31BE1E1C-C339-4355-BE6C-36493581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657" name="Picture 656" descr="http://www.abs.gov.au/icons/ecblank.gif">
          <a:extLst>
            <a:ext uri="{FF2B5EF4-FFF2-40B4-BE49-F238E27FC236}">
              <a16:creationId xmlns:a16="http://schemas.microsoft.com/office/drawing/2014/main" id="{2FA753B4-F08C-47CE-B291-1F3E0671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658" name="Picture 657" descr="http://www.abs.gov.au/icons/ecblank.gif">
          <a:extLst>
            <a:ext uri="{FF2B5EF4-FFF2-40B4-BE49-F238E27FC236}">
              <a16:creationId xmlns:a16="http://schemas.microsoft.com/office/drawing/2014/main" id="{B034623D-5F8D-4CEE-A2E1-265DFC5E3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659" name="Picture 658" descr="http://www.abs.gov.au/icons/ecblank.gif">
          <a:extLst>
            <a:ext uri="{FF2B5EF4-FFF2-40B4-BE49-F238E27FC236}">
              <a16:creationId xmlns:a16="http://schemas.microsoft.com/office/drawing/2014/main" id="{34D02EB5-D7AE-4DA8-B1FF-F6F2287E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660" name="Picture 659" descr="http://www.abs.gov.au/icons/ecblank.gif">
          <a:extLst>
            <a:ext uri="{FF2B5EF4-FFF2-40B4-BE49-F238E27FC236}">
              <a16:creationId xmlns:a16="http://schemas.microsoft.com/office/drawing/2014/main" id="{A1F8D547-1CC4-4EF7-B7B8-C7C42FC5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661" name="Picture 660" descr="http://www.abs.gov.au/icons/ecblank.gif">
          <a:extLst>
            <a:ext uri="{FF2B5EF4-FFF2-40B4-BE49-F238E27FC236}">
              <a16:creationId xmlns:a16="http://schemas.microsoft.com/office/drawing/2014/main" id="{1D726649-2846-4CC3-85A6-4BCC0247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9525</xdr:rowOff>
    </xdr:to>
    <xdr:pic>
      <xdr:nvPicPr>
        <xdr:cNvPr id="662" name="Picture 661" descr="http://www.abs.gov.au/icons/ecblank.gif">
          <a:extLst>
            <a:ext uri="{FF2B5EF4-FFF2-40B4-BE49-F238E27FC236}">
              <a16:creationId xmlns:a16="http://schemas.microsoft.com/office/drawing/2014/main" id="{081DBA11-93A9-42F4-B790-9E82033F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663" name="Picture 662" descr="http://www.abs.gov.au/icons/ecblank.gif">
          <a:extLst>
            <a:ext uri="{FF2B5EF4-FFF2-40B4-BE49-F238E27FC236}">
              <a16:creationId xmlns:a16="http://schemas.microsoft.com/office/drawing/2014/main" id="{F1BBB44B-DD31-4FAE-9497-3770D5FC2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96</xdr:row>
      <xdr:rowOff>0</xdr:rowOff>
    </xdr:from>
    <xdr:to>
      <xdr:col>7</xdr:col>
      <xdr:colOff>0</xdr:colOff>
      <xdr:row>96</xdr:row>
      <xdr:rowOff>9525</xdr:rowOff>
    </xdr:to>
    <xdr:pic>
      <xdr:nvPicPr>
        <xdr:cNvPr id="664" name="Picture 663" descr="http://www.abs.gov.au/icons/ecblank.gif">
          <a:extLst>
            <a:ext uri="{FF2B5EF4-FFF2-40B4-BE49-F238E27FC236}">
              <a16:creationId xmlns:a16="http://schemas.microsoft.com/office/drawing/2014/main" id="{5D3CFB5A-4FB5-43F3-80BE-F124B626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52450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665" name="Picture 108" descr="http://www.abs.gov.au/icons/ecblank.gif">
          <a:extLst>
            <a:ext uri="{FF2B5EF4-FFF2-40B4-BE49-F238E27FC236}">
              <a16:creationId xmlns:a16="http://schemas.microsoft.com/office/drawing/2014/main" id="{89A33F68-4F3B-45F6-9E75-8F7CA840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9525</xdr:rowOff>
    </xdr:to>
    <xdr:pic>
      <xdr:nvPicPr>
        <xdr:cNvPr id="666" name="Picture 109" descr="http://www.abs.gov.au/icons/ecblank.gif">
          <a:extLst>
            <a:ext uri="{FF2B5EF4-FFF2-40B4-BE49-F238E27FC236}">
              <a16:creationId xmlns:a16="http://schemas.microsoft.com/office/drawing/2014/main" id="{E27F40DC-485F-4CFD-BF5C-3B6DD6FC4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667" name="Picture 110" descr="http://www.abs.gov.au/icons/ecblank.gif">
          <a:extLst>
            <a:ext uri="{FF2B5EF4-FFF2-40B4-BE49-F238E27FC236}">
              <a16:creationId xmlns:a16="http://schemas.microsoft.com/office/drawing/2014/main" id="{25EB50AB-C898-4CA1-B1FB-EE617CE8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9525</xdr:rowOff>
    </xdr:to>
    <xdr:pic>
      <xdr:nvPicPr>
        <xdr:cNvPr id="668" name="Picture 111" descr="http://www.abs.gov.au/icons/ecblank.gif">
          <a:extLst>
            <a:ext uri="{FF2B5EF4-FFF2-40B4-BE49-F238E27FC236}">
              <a16:creationId xmlns:a16="http://schemas.microsoft.com/office/drawing/2014/main" id="{7C40D416-BE83-4AAF-A29C-6E6AA8F9C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00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669" name="Picture 668" descr="http://www.abs.gov.au/icons/ecblank.gif">
          <a:extLst>
            <a:ext uri="{FF2B5EF4-FFF2-40B4-BE49-F238E27FC236}">
              <a16:creationId xmlns:a16="http://schemas.microsoft.com/office/drawing/2014/main" id="{55225DD7-9C32-45C1-B776-198EBDC5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670" name="Picture 669" descr="http://www.abs.gov.au/icons/ecblank.gif">
          <a:extLst>
            <a:ext uri="{FF2B5EF4-FFF2-40B4-BE49-F238E27FC236}">
              <a16:creationId xmlns:a16="http://schemas.microsoft.com/office/drawing/2014/main" id="{575047C0-D9D6-4B8B-9C74-EB804B55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671" name="Picture 670" descr="http://www.abs.gov.au/icons/ecblank.gif">
          <a:extLst>
            <a:ext uri="{FF2B5EF4-FFF2-40B4-BE49-F238E27FC236}">
              <a16:creationId xmlns:a16="http://schemas.microsoft.com/office/drawing/2014/main" id="{24854D36-4CB5-4BE9-A4C9-A2D6AC40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672" name="Picture 671" descr="http://www.abs.gov.au/icons/ecblank.gif">
          <a:extLst>
            <a:ext uri="{FF2B5EF4-FFF2-40B4-BE49-F238E27FC236}">
              <a16:creationId xmlns:a16="http://schemas.microsoft.com/office/drawing/2014/main" id="{9C885C78-3C0D-4365-8EF8-4A7E2359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673" name="Picture 672" descr="http://www.abs.gov.au/icons/ecblank.gif">
          <a:extLst>
            <a:ext uri="{FF2B5EF4-FFF2-40B4-BE49-F238E27FC236}">
              <a16:creationId xmlns:a16="http://schemas.microsoft.com/office/drawing/2014/main" id="{6C896967-28C0-4BB5-89F9-600CC3CE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0</xdr:colOff>
      <xdr:row>81</xdr:row>
      <xdr:rowOff>9525</xdr:rowOff>
    </xdr:to>
    <xdr:pic>
      <xdr:nvPicPr>
        <xdr:cNvPr id="674" name="Picture 673" descr="http://www.abs.gov.au/icons/ecblank.gif">
          <a:extLst>
            <a:ext uri="{FF2B5EF4-FFF2-40B4-BE49-F238E27FC236}">
              <a16:creationId xmlns:a16="http://schemas.microsoft.com/office/drawing/2014/main" id="{968BCACA-435D-4A6F-8003-5A144831A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675" name="Picture 674" descr="http://www.abs.gov.au/icons/ecblank.gif">
          <a:extLst>
            <a:ext uri="{FF2B5EF4-FFF2-40B4-BE49-F238E27FC236}">
              <a16:creationId xmlns:a16="http://schemas.microsoft.com/office/drawing/2014/main" id="{BFB19D4D-026D-4443-86CD-27AEFA7F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9525</xdr:rowOff>
    </xdr:to>
    <xdr:pic>
      <xdr:nvPicPr>
        <xdr:cNvPr id="676" name="Picture 675" descr="http://www.abs.gov.au/icons/ecblank.gif">
          <a:extLst>
            <a:ext uri="{FF2B5EF4-FFF2-40B4-BE49-F238E27FC236}">
              <a16:creationId xmlns:a16="http://schemas.microsoft.com/office/drawing/2014/main" id="{0C9D45E6-66C2-4B86-8468-5ADD58CB6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6198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677" name="Picture 676" descr="http://www.abs.gov.au/icons/ecblank.gif">
          <a:extLst>
            <a:ext uri="{FF2B5EF4-FFF2-40B4-BE49-F238E27FC236}">
              <a16:creationId xmlns:a16="http://schemas.microsoft.com/office/drawing/2014/main" id="{C0873310-E89F-418F-A059-7E142BA5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678" name="Picture 677" descr="http://www.abs.gov.au/icons/ecblank.gif">
          <a:extLst>
            <a:ext uri="{FF2B5EF4-FFF2-40B4-BE49-F238E27FC236}">
              <a16:creationId xmlns:a16="http://schemas.microsoft.com/office/drawing/2014/main" id="{3EACC869-1F6D-4D12-BC18-3D6681DC1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679" name="Picture 678" descr="http://www.abs.gov.au/icons/ecblank.gif">
          <a:extLst>
            <a:ext uri="{FF2B5EF4-FFF2-40B4-BE49-F238E27FC236}">
              <a16:creationId xmlns:a16="http://schemas.microsoft.com/office/drawing/2014/main" id="{7A2B8194-AF90-4AA2-9C5D-8D08E37A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680" name="Picture 679" descr="http://www.abs.gov.au/icons/ecblank.gif">
          <a:extLst>
            <a:ext uri="{FF2B5EF4-FFF2-40B4-BE49-F238E27FC236}">
              <a16:creationId xmlns:a16="http://schemas.microsoft.com/office/drawing/2014/main" id="{820A1FC6-7AC3-4E5E-9144-B1470D31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681" name="Picture 680" descr="http://www.abs.gov.au/icons/ecblank.gif">
          <a:extLst>
            <a:ext uri="{FF2B5EF4-FFF2-40B4-BE49-F238E27FC236}">
              <a16:creationId xmlns:a16="http://schemas.microsoft.com/office/drawing/2014/main" id="{525B9890-ED0F-4EAF-9B6B-07889586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19575" y="156305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9525</xdr:colOff>
      <xdr:row>80</xdr:row>
      <xdr:rowOff>9525</xdr:rowOff>
    </xdr:to>
    <xdr:pic>
      <xdr:nvPicPr>
        <xdr:cNvPr id="682" name="Picture 681" descr="http://www.abs.gov.au/icons/ecblank.gif">
          <a:extLst>
            <a:ext uri="{FF2B5EF4-FFF2-40B4-BE49-F238E27FC236}">
              <a16:creationId xmlns:a16="http://schemas.microsoft.com/office/drawing/2014/main" id="{60D70508-F308-4A47-A95A-448D28D8E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48900" y="16030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9525</xdr:colOff>
      <xdr:row>80</xdr:row>
      <xdr:rowOff>9525</xdr:rowOff>
    </xdr:to>
    <xdr:pic>
      <xdr:nvPicPr>
        <xdr:cNvPr id="683" name="Picture 682" descr="http://www.abs.gov.au/icons/ecblank.gif">
          <a:extLst>
            <a:ext uri="{FF2B5EF4-FFF2-40B4-BE49-F238E27FC236}">
              <a16:creationId xmlns:a16="http://schemas.microsoft.com/office/drawing/2014/main" id="{3CB4FA5D-B350-41EE-BC93-834BDE09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48900" y="16030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9525</xdr:colOff>
      <xdr:row>96</xdr:row>
      <xdr:rowOff>9525</xdr:rowOff>
    </xdr:to>
    <xdr:pic>
      <xdr:nvPicPr>
        <xdr:cNvPr id="684" name="Picture 683" descr="http://www.abs.gov.au/icons/ecblank.gif">
          <a:extLst>
            <a:ext uri="{FF2B5EF4-FFF2-40B4-BE49-F238E27FC236}">
              <a16:creationId xmlns:a16="http://schemas.microsoft.com/office/drawing/2014/main" id="{16CB6625-0FFF-4DC8-8D1F-59A19E140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48900" y="19078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9525</xdr:colOff>
      <xdr:row>96</xdr:row>
      <xdr:rowOff>9525</xdr:rowOff>
    </xdr:to>
    <xdr:pic>
      <xdr:nvPicPr>
        <xdr:cNvPr id="685" name="Picture 684" descr="http://www.abs.gov.au/icons/ecblank.gif">
          <a:extLst>
            <a:ext uri="{FF2B5EF4-FFF2-40B4-BE49-F238E27FC236}">
              <a16:creationId xmlns:a16="http://schemas.microsoft.com/office/drawing/2014/main" id="{95701EAE-594C-4D19-BF5B-5FEC76B6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48900" y="19078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686" name="Picture 685" descr="http://www.abs.gov.au/icons/ecblank.gif">
          <a:extLst>
            <a:ext uri="{FF2B5EF4-FFF2-40B4-BE49-F238E27FC236}">
              <a16:creationId xmlns:a16="http://schemas.microsoft.com/office/drawing/2014/main" id="{B2618CF5-4860-418D-BB55-E13B70EF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687" name="Picture 686" descr="http://www.abs.gov.au/icons/ecblank.gif">
          <a:extLst>
            <a:ext uri="{FF2B5EF4-FFF2-40B4-BE49-F238E27FC236}">
              <a16:creationId xmlns:a16="http://schemas.microsoft.com/office/drawing/2014/main" id="{B96D07F7-773F-43C2-A750-95D36270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688" name="Picture 687" descr="http://www.abs.gov.au/icons/ecblank.gif">
          <a:extLst>
            <a:ext uri="{FF2B5EF4-FFF2-40B4-BE49-F238E27FC236}">
              <a16:creationId xmlns:a16="http://schemas.microsoft.com/office/drawing/2014/main" id="{00F85229-86E2-4514-9117-820A85BA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689" name="Picture 688" descr="http://www.abs.gov.au/icons/ecblank.gif">
          <a:extLst>
            <a:ext uri="{FF2B5EF4-FFF2-40B4-BE49-F238E27FC236}">
              <a16:creationId xmlns:a16="http://schemas.microsoft.com/office/drawing/2014/main" id="{2FA0F869-E6A4-4DF6-9DBD-D1E66399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690" name="Picture 689" descr="http://www.abs.gov.au/icons/ecblank.gif">
          <a:extLst>
            <a:ext uri="{FF2B5EF4-FFF2-40B4-BE49-F238E27FC236}">
              <a16:creationId xmlns:a16="http://schemas.microsoft.com/office/drawing/2014/main" id="{F5F6F402-8FC3-455B-8EE7-F42BD187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691" name="Picture 690" descr="http://www.abs.gov.au/icons/ecblank.gif">
          <a:extLst>
            <a:ext uri="{FF2B5EF4-FFF2-40B4-BE49-F238E27FC236}">
              <a16:creationId xmlns:a16="http://schemas.microsoft.com/office/drawing/2014/main" id="{AD5A2B1C-4195-408B-8A91-F1D742783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692" name="Picture 691" descr="http://www.abs.gov.au/icons/ecblank.gif">
          <a:extLst>
            <a:ext uri="{FF2B5EF4-FFF2-40B4-BE49-F238E27FC236}">
              <a16:creationId xmlns:a16="http://schemas.microsoft.com/office/drawing/2014/main" id="{282EB4C4-6F46-4F4B-8B39-69B342D0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693" name="Picture 692" descr="http://www.abs.gov.au/icons/ecblank.gif">
          <a:extLst>
            <a:ext uri="{FF2B5EF4-FFF2-40B4-BE49-F238E27FC236}">
              <a16:creationId xmlns:a16="http://schemas.microsoft.com/office/drawing/2014/main" id="{A0052221-BCC9-4EA6-9384-9A60AEFB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694" name="Picture 693" descr="http://www.abs.gov.au/icons/ecblank.gif">
          <a:extLst>
            <a:ext uri="{FF2B5EF4-FFF2-40B4-BE49-F238E27FC236}">
              <a16:creationId xmlns:a16="http://schemas.microsoft.com/office/drawing/2014/main" id="{AA2AB0B5-5306-48C1-8C63-32A875C4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695" name="Picture 694" descr="http://www.abs.gov.au/icons/ecblank.gif">
          <a:extLst>
            <a:ext uri="{FF2B5EF4-FFF2-40B4-BE49-F238E27FC236}">
              <a16:creationId xmlns:a16="http://schemas.microsoft.com/office/drawing/2014/main" id="{74BD066C-A95A-42D3-BA79-E6364EC7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696" name="Picture 695" descr="http://www.abs.gov.au/icons/ecblank.gif">
          <a:extLst>
            <a:ext uri="{FF2B5EF4-FFF2-40B4-BE49-F238E27FC236}">
              <a16:creationId xmlns:a16="http://schemas.microsoft.com/office/drawing/2014/main" id="{4B2DC0A2-BB28-41A0-B2CD-C2DB1D56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697" name="Picture 696" descr="http://www.abs.gov.au/icons/ecblank.gif">
          <a:extLst>
            <a:ext uri="{FF2B5EF4-FFF2-40B4-BE49-F238E27FC236}">
              <a16:creationId xmlns:a16="http://schemas.microsoft.com/office/drawing/2014/main" id="{7828D470-3994-4B35-B379-2268F90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698" name="Picture 697" descr="http://www.abs.gov.au/icons/ecblank.gif">
          <a:extLst>
            <a:ext uri="{FF2B5EF4-FFF2-40B4-BE49-F238E27FC236}">
              <a16:creationId xmlns:a16="http://schemas.microsoft.com/office/drawing/2014/main" id="{1C23C8A8-0CF0-432D-8264-344C10B0D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699" name="Picture 698" descr="http://www.abs.gov.au/icons/ecblank.gif">
          <a:extLst>
            <a:ext uri="{FF2B5EF4-FFF2-40B4-BE49-F238E27FC236}">
              <a16:creationId xmlns:a16="http://schemas.microsoft.com/office/drawing/2014/main" id="{6B93EE3B-B9A3-40F4-BCDE-3152B9D9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700" name="Picture 699" descr="http://www.abs.gov.au/icons/ecblank.gif">
          <a:extLst>
            <a:ext uri="{FF2B5EF4-FFF2-40B4-BE49-F238E27FC236}">
              <a16:creationId xmlns:a16="http://schemas.microsoft.com/office/drawing/2014/main" id="{5613AF1B-5394-430E-AB5D-93947DD6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701" name="Picture 700" descr="http://www.abs.gov.au/icons/ecblank.gif">
          <a:extLst>
            <a:ext uri="{FF2B5EF4-FFF2-40B4-BE49-F238E27FC236}">
              <a16:creationId xmlns:a16="http://schemas.microsoft.com/office/drawing/2014/main" id="{F1DE875A-DD9A-423A-A370-55520BB9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702" name="Picture 701" descr="http://www.abs.gov.au/icons/ecblank.gif">
          <a:extLst>
            <a:ext uri="{FF2B5EF4-FFF2-40B4-BE49-F238E27FC236}">
              <a16:creationId xmlns:a16="http://schemas.microsoft.com/office/drawing/2014/main" id="{AEAFCC18-F6B0-4D9A-B7E0-739467C4B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703" name="Picture 702" descr="http://www.abs.gov.au/icons/ecblank.gif">
          <a:extLst>
            <a:ext uri="{FF2B5EF4-FFF2-40B4-BE49-F238E27FC236}">
              <a16:creationId xmlns:a16="http://schemas.microsoft.com/office/drawing/2014/main" id="{0953222F-2F25-42B3-AB3C-2C688A55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704" name="Picture 703" descr="http://www.abs.gov.au/icons/ecblank.gif">
          <a:extLst>
            <a:ext uri="{FF2B5EF4-FFF2-40B4-BE49-F238E27FC236}">
              <a16:creationId xmlns:a16="http://schemas.microsoft.com/office/drawing/2014/main" id="{7E6A1395-C2A2-4512-8F63-22242282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705" name="Picture 704" descr="http://www.abs.gov.au/icons/ecblank.gif">
          <a:extLst>
            <a:ext uri="{FF2B5EF4-FFF2-40B4-BE49-F238E27FC236}">
              <a16:creationId xmlns:a16="http://schemas.microsoft.com/office/drawing/2014/main" id="{AAE3AA27-F725-46B0-94AC-952F692C8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706" name="Picture 705" descr="http://www.abs.gov.au/icons/ecblank.gif">
          <a:extLst>
            <a:ext uri="{FF2B5EF4-FFF2-40B4-BE49-F238E27FC236}">
              <a16:creationId xmlns:a16="http://schemas.microsoft.com/office/drawing/2014/main" id="{6F581982-7266-4264-ACC9-4868D53B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707" name="Picture 706" descr="http://www.abs.gov.au/icons/ecblank.gif">
          <a:extLst>
            <a:ext uri="{FF2B5EF4-FFF2-40B4-BE49-F238E27FC236}">
              <a16:creationId xmlns:a16="http://schemas.microsoft.com/office/drawing/2014/main" id="{1F3A110A-D982-48F9-BA9B-8D3DD85B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708" name="Picture 707" descr="http://www.abs.gov.au/icons/ecblank.gif">
          <a:extLst>
            <a:ext uri="{FF2B5EF4-FFF2-40B4-BE49-F238E27FC236}">
              <a16:creationId xmlns:a16="http://schemas.microsoft.com/office/drawing/2014/main" id="{F24B5CAD-5BE8-42D9-B177-6972DEFE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709" name="Picture 708" descr="http://www.abs.gov.au/icons/ecblank.gif">
          <a:extLst>
            <a:ext uri="{FF2B5EF4-FFF2-40B4-BE49-F238E27FC236}">
              <a16:creationId xmlns:a16="http://schemas.microsoft.com/office/drawing/2014/main" id="{DCECF1CE-F713-437E-8437-EFDECAEF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710" name="Picture 108" descr="http://www.abs.gov.au/icons/ecblank.gif">
          <a:extLst>
            <a:ext uri="{FF2B5EF4-FFF2-40B4-BE49-F238E27FC236}">
              <a16:creationId xmlns:a16="http://schemas.microsoft.com/office/drawing/2014/main" id="{B67745EB-541F-449B-95C0-91F6A79CD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711" name="Picture 109" descr="http://www.abs.gov.au/icons/ecblank.gif">
          <a:extLst>
            <a:ext uri="{FF2B5EF4-FFF2-40B4-BE49-F238E27FC236}">
              <a16:creationId xmlns:a16="http://schemas.microsoft.com/office/drawing/2014/main" id="{1194B3B6-20E2-4A2C-AAC8-9013A9B0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411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712" name="Picture 110" descr="http://www.abs.gov.au/icons/ecblank.gif">
          <a:extLst>
            <a:ext uri="{FF2B5EF4-FFF2-40B4-BE49-F238E27FC236}">
              <a16:creationId xmlns:a16="http://schemas.microsoft.com/office/drawing/2014/main" id="{C663C02F-6878-4E8C-BD05-426FC56F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713" name="Picture 111" descr="http://www.abs.gov.au/icons/ecblank.gif">
          <a:extLst>
            <a:ext uri="{FF2B5EF4-FFF2-40B4-BE49-F238E27FC236}">
              <a16:creationId xmlns:a16="http://schemas.microsoft.com/office/drawing/2014/main" id="{76A721FA-CF9E-4CC8-A6E1-897D573B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459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714" name="Picture 713" descr="http://www.abs.gov.au/icons/ecblank.gif">
          <a:extLst>
            <a:ext uri="{FF2B5EF4-FFF2-40B4-BE49-F238E27FC236}">
              <a16:creationId xmlns:a16="http://schemas.microsoft.com/office/drawing/2014/main" id="{C4E21F0D-337E-481C-9B86-6F1C640D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715" name="Picture 714" descr="http://www.abs.gov.au/icons/ecblank.gif">
          <a:extLst>
            <a:ext uri="{FF2B5EF4-FFF2-40B4-BE49-F238E27FC236}">
              <a16:creationId xmlns:a16="http://schemas.microsoft.com/office/drawing/2014/main" id="{58FEECC3-EF07-4BC9-A9B6-E0BBA590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716" name="Picture 715" descr="http://www.abs.gov.au/icons/ecblank.gif">
          <a:extLst>
            <a:ext uri="{FF2B5EF4-FFF2-40B4-BE49-F238E27FC236}">
              <a16:creationId xmlns:a16="http://schemas.microsoft.com/office/drawing/2014/main" id="{3DDAE350-F4BE-4BEE-8112-7C81090DA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717" name="Picture 716" descr="http://www.abs.gov.au/icons/ecblank.gif">
          <a:extLst>
            <a:ext uri="{FF2B5EF4-FFF2-40B4-BE49-F238E27FC236}">
              <a16:creationId xmlns:a16="http://schemas.microsoft.com/office/drawing/2014/main" id="{25604898-670C-43B3-B6E7-FB3872AF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718" name="Picture 717" descr="http://www.abs.gov.au/icons/ecblank.gif">
          <a:extLst>
            <a:ext uri="{FF2B5EF4-FFF2-40B4-BE49-F238E27FC236}">
              <a16:creationId xmlns:a16="http://schemas.microsoft.com/office/drawing/2014/main" id="{43C5301F-E2DB-4E7D-A179-5B8C0AC8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719" name="Picture 718" descr="http://www.abs.gov.au/icons/ecblank.gif">
          <a:extLst>
            <a:ext uri="{FF2B5EF4-FFF2-40B4-BE49-F238E27FC236}">
              <a16:creationId xmlns:a16="http://schemas.microsoft.com/office/drawing/2014/main" id="{7523D5F7-62CD-4F86-8C9C-0FDA2EF2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720" name="Picture 719" descr="http://www.abs.gov.au/icons/ecblank.gif">
          <a:extLst>
            <a:ext uri="{FF2B5EF4-FFF2-40B4-BE49-F238E27FC236}">
              <a16:creationId xmlns:a16="http://schemas.microsoft.com/office/drawing/2014/main" id="{46E776D4-BD2C-4E4E-BABD-9CCA1D9F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721" name="Picture 720" descr="http://www.abs.gov.au/icons/ecblank.gif">
          <a:extLst>
            <a:ext uri="{FF2B5EF4-FFF2-40B4-BE49-F238E27FC236}">
              <a16:creationId xmlns:a16="http://schemas.microsoft.com/office/drawing/2014/main" id="{DDDFF599-3905-4AC7-8886-988DF673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722" name="Picture 108" descr="http://www.abs.gov.au/icons/ecblank.gif">
          <a:extLst>
            <a:ext uri="{FF2B5EF4-FFF2-40B4-BE49-F238E27FC236}">
              <a16:creationId xmlns:a16="http://schemas.microsoft.com/office/drawing/2014/main" id="{43D80AB3-7DDC-4DC3-B3F8-1CAB657B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723" name="Picture 109" descr="http://www.abs.gov.au/icons/ecblank.gif">
          <a:extLst>
            <a:ext uri="{FF2B5EF4-FFF2-40B4-BE49-F238E27FC236}">
              <a16:creationId xmlns:a16="http://schemas.microsoft.com/office/drawing/2014/main" id="{8EA1CEFF-84B6-4925-B577-E9FFFA49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724" name="Picture 110" descr="http://www.abs.gov.au/icons/ecblank.gif">
          <a:extLst>
            <a:ext uri="{FF2B5EF4-FFF2-40B4-BE49-F238E27FC236}">
              <a16:creationId xmlns:a16="http://schemas.microsoft.com/office/drawing/2014/main" id="{A965ED2F-6A30-4158-9BA9-CC5827A6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725" name="Picture 111" descr="http://www.abs.gov.au/icons/ecblank.gif">
          <a:extLst>
            <a:ext uri="{FF2B5EF4-FFF2-40B4-BE49-F238E27FC236}">
              <a16:creationId xmlns:a16="http://schemas.microsoft.com/office/drawing/2014/main" id="{14A5465F-34BD-405D-A1BE-585E4546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6327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80</xdr:row>
      <xdr:rowOff>0</xdr:rowOff>
    </xdr:from>
    <xdr:to>
      <xdr:col>12</xdr:col>
      <xdr:colOff>0</xdr:colOff>
      <xdr:row>80</xdr:row>
      <xdr:rowOff>9525</xdr:rowOff>
    </xdr:to>
    <xdr:pic>
      <xdr:nvPicPr>
        <xdr:cNvPr id="726" name="Picture 725" descr="http://www.abs.gov.au/icons/ecblank.gif">
          <a:extLst>
            <a:ext uri="{FF2B5EF4-FFF2-40B4-BE49-F238E27FC236}">
              <a16:creationId xmlns:a16="http://schemas.microsoft.com/office/drawing/2014/main" id="{5BC7CEAF-1CD1-463A-BEDC-C3AC446CA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201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80</xdr:row>
      <xdr:rowOff>0</xdr:rowOff>
    </xdr:from>
    <xdr:to>
      <xdr:col>12</xdr:col>
      <xdr:colOff>0</xdr:colOff>
      <xdr:row>80</xdr:row>
      <xdr:rowOff>9525</xdr:rowOff>
    </xdr:to>
    <xdr:pic>
      <xdr:nvPicPr>
        <xdr:cNvPr id="727" name="Picture 726" descr="http://www.abs.gov.au/icons/ecblank.gif">
          <a:extLst>
            <a:ext uri="{FF2B5EF4-FFF2-40B4-BE49-F238E27FC236}">
              <a16:creationId xmlns:a16="http://schemas.microsoft.com/office/drawing/2014/main" id="{E51C4E30-E682-4DE9-A4BD-B8BE81AE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201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96</xdr:row>
      <xdr:rowOff>0</xdr:rowOff>
    </xdr:from>
    <xdr:to>
      <xdr:col>12</xdr:col>
      <xdr:colOff>0</xdr:colOff>
      <xdr:row>96</xdr:row>
      <xdr:rowOff>9525</xdr:rowOff>
    </xdr:to>
    <xdr:pic>
      <xdr:nvPicPr>
        <xdr:cNvPr id="728" name="Picture 727" descr="http://www.abs.gov.au/icons/ecblank.gif">
          <a:extLst>
            <a:ext uri="{FF2B5EF4-FFF2-40B4-BE49-F238E27FC236}">
              <a16:creationId xmlns:a16="http://schemas.microsoft.com/office/drawing/2014/main" id="{736DF685-8186-47D9-8F85-5EC86759B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201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96</xdr:row>
      <xdr:rowOff>0</xdr:rowOff>
    </xdr:from>
    <xdr:to>
      <xdr:col>12</xdr:col>
      <xdr:colOff>0</xdr:colOff>
      <xdr:row>96</xdr:row>
      <xdr:rowOff>9525</xdr:rowOff>
    </xdr:to>
    <xdr:pic>
      <xdr:nvPicPr>
        <xdr:cNvPr id="729" name="Picture 728" descr="http://www.abs.gov.au/icons/ecblank.gif">
          <a:extLst>
            <a:ext uri="{FF2B5EF4-FFF2-40B4-BE49-F238E27FC236}">
              <a16:creationId xmlns:a16="http://schemas.microsoft.com/office/drawing/2014/main" id="{71181B5C-4DEB-4C28-A7B4-E78AD340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201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80</xdr:row>
      <xdr:rowOff>0</xdr:rowOff>
    </xdr:from>
    <xdr:to>
      <xdr:col>12</xdr:col>
      <xdr:colOff>0</xdr:colOff>
      <xdr:row>80</xdr:row>
      <xdr:rowOff>9525</xdr:rowOff>
    </xdr:to>
    <xdr:pic>
      <xdr:nvPicPr>
        <xdr:cNvPr id="730" name="Picture 729" descr="http://www.abs.gov.au/icons/ecblank.gif">
          <a:extLst>
            <a:ext uri="{FF2B5EF4-FFF2-40B4-BE49-F238E27FC236}">
              <a16:creationId xmlns:a16="http://schemas.microsoft.com/office/drawing/2014/main" id="{38C0634B-0FA7-4F8A-B350-18772E5C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201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80</xdr:row>
      <xdr:rowOff>0</xdr:rowOff>
    </xdr:from>
    <xdr:to>
      <xdr:col>12</xdr:col>
      <xdr:colOff>0</xdr:colOff>
      <xdr:row>80</xdr:row>
      <xdr:rowOff>9525</xdr:rowOff>
    </xdr:to>
    <xdr:pic>
      <xdr:nvPicPr>
        <xdr:cNvPr id="731" name="Picture 730" descr="http://www.abs.gov.au/icons/ecblank.gif">
          <a:extLst>
            <a:ext uri="{FF2B5EF4-FFF2-40B4-BE49-F238E27FC236}">
              <a16:creationId xmlns:a16="http://schemas.microsoft.com/office/drawing/2014/main" id="{274E4D75-81A2-4801-A9BB-4C8D8B5F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20150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96</xdr:row>
      <xdr:rowOff>0</xdr:rowOff>
    </xdr:from>
    <xdr:to>
      <xdr:col>12</xdr:col>
      <xdr:colOff>0</xdr:colOff>
      <xdr:row>96</xdr:row>
      <xdr:rowOff>9525</xdr:rowOff>
    </xdr:to>
    <xdr:pic>
      <xdr:nvPicPr>
        <xdr:cNvPr id="732" name="Picture 731" descr="http://www.abs.gov.au/icons/ecblank.gif">
          <a:extLst>
            <a:ext uri="{FF2B5EF4-FFF2-40B4-BE49-F238E27FC236}">
              <a16:creationId xmlns:a16="http://schemas.microsoft.com/office/drawing/2014/main" id="{5D7EEED4-4143-4A5A-8FDA-3DC7460F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201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96</xdr:row>
      <xdr:rowOff>0</xdr:rowOff>
    </xdr:from>
    <xdr:to>
      <xdr:col>12</xdr:col>
      <xdr:colOff>0</xdr:colOff>
      <xdr:row>96</xdr:row>
      <xdr:rowOff>9525</xdr:rowOff>
    </xdr:to>
    <xdr:pic>
      <xdr:nvPicPr>
        <xdr:cNvPr id="733" name="Picture 732" descr="http://www.abs.gov.au/icons/ecblank.gif">
          <a:extLst>
            <a:ext uri="{FF2B5EF4-FFF2-40B4-BE49-F238E27FC236}">
              <a16:creationId xmlns:a16="http://schemas.microsoft.com/office/drawing/2014/main" id="{6A0A567F-8AA1-400E-B441-182B7A96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20150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79</xdr:row>
      <xdr:rowOff>0</xdr:rowOff>
    </xdr:from>
    <xdr:to>
      <xdr:col>16</xdr:col>
      <xdr:colOff>9525</xdr:colOff>
      <xdr:row>79</xdr:row>
      <xdr:rowOff>9525</xdr:rowOff>
    </xdr:to>
    <xdr:pic>
      <xdr:nvPicPr>
        <xdr:cNvPr id="734" name="Picture 733" descr="http://www.abs.gov.au/icons/ecblank.gif">
          <a:extLst>
            <a:ext uri="{FF2B5EF4-FFF2-40B4-BE49-F238E27FC236}">
              <a16:creationId xmlns:a16="http://schemas.microsoft.com/office/drawing/2014/main" id="{C7DAFB4A-4F4E-434B-8CD1-1D9226BE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677650" y="1584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79</xdr:row>
      <xdr:rowOff>0</xdr:rowOff>
    </xdr:from>
    <xdr:to>
      <xdr:col>16</xdr:col>
      <xdr:colOff>9525</xdr:colOff>
      <xdr:row>79</xdr:row>
      <xdr:rowOff>9525</xdr:rowOff>
    </xdr:to>
    <xdr:pic>
      <xdr:nvPicPr>
        <xdr:cNvPr id="735" name="Picture 734" descr="http://www.abs.gov.au/icons/ecblank.gif">
          <a:extLst>
            <a:ext uri="{FF2B5EF4-FFF2-40B4-BE49-F238E27FC236}">
              <a16:creationId xmlns:a16="http://schemas.microsoft.com/office/drawing/2014/main" id="{C8F49DC0-5299-4432-B096-F061E51B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677650" y="1584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95</xdr:row>
      <xdr:rowOff>0</xdr:rowOff>
    </xdr:from>
    <xdr:to>
      <xdr:col>16</xdr:col>
      <xdr:colOff>9525</xdr:colOff>
      <xdr:row>95</xdr:row>
      <xdr:rowOff>9525</xdr:rowOff>
    </xdr:to>
    <xdr:pic>
      <xdr:nvPicPr>
        <xdr:cNvPr id="736" name="Picture 735" descr="http://www.abs.gov.au/icons/ecblank.gif">
          <a:extLst>
            <a:ext uri="{FF2B5EF4-FFF2-40B4-BE49-F238E27FC236}">
              <a16:creationId xmlns:a16="http://schemas.microsoft.com/office/drawing/2014/main" id="{0FCAE010-54A3-4363-B334-CAFECB88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677650" y="1888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95</xdr:row>
      <xdr:rowOff>0</xdr:rowOff>
    </xdr:from>
    <xdr:to>
      <xdr:col>16</xdr:col>
      <xdr:colOff>9525</xdr:colOff>
      <xdr:row>95</xdr:row>
      <xdr:rowOff>9525</xdr:rowOff>
    </xdr:to>
    <xdr:pic>
      <xdr:nvPicPr>
        <xdr:cNvPr id="737" name="Picture 736" descr="http://www.abs.gov.au/icons/ecblank.gif">
          <a:extLst>
            <a:ext uri="{FF2B5EF4-FFF2-40B4-BE49-F238E27FC236}">
              <a16:creationId xmlns:a16="http://schemas.microsoft.com/office/drawing/2014/main" id="{50F86499-5BB8-4F16-8A0E-F7D26EDB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677650" y="1888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738" name="Picture 737" descr="http://www.abs.gov.au/icons/ecblank.gif">
          <a:extLst>
            <a:ext uri="{FF2B5EF4-FFF2-40B4-BE49-F238E27FC236}">
              <a16:creationId xmlns:a16="http://schemas.microsoft.com/office/drawing/2014/main" id="{001AFBA1-7A30-46A9-967E-B744BB51D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739" name="Picture 738" descr="http://www.abs.gov.au/icons/ecblank.gif">
          <a:extLst>
            <a:ext uri="{FF2B5EF4-FFF2-40B4-BE49-F238E27FC236}">
              <a16:creationId xmlns:a16="http://schemas.microsoft.com/office/drawing/2014/main" id="{0BA5F858-3059-47F7-97E1-C0663E6E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740" name="Picture 739" descr="http://www.abs.gov.au/icons/ecblank.gif">
          <a:extLst>
            <a:ext uri="{FF2B5EF4-FFF2-40B4-BE49-F238E27FC236}">
              <a16:creationId xmlns:a16="http://schemas.microsoft.com/office/drawing/2014/main" id="{0A3B8865-472B-469D-9B60-71B10730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741" name="Picture 740" descr="http://www.abs.gov.au/icons/ecblank.gif">
          <a:extLst>
            <a:ext uri="{FF2B5EF4-FFF2-40B4-BE49-F238E27FC236}">
              <a16:creationId xmlns:a16="http://schemas.microsoft.com/office/drawing/2014/main" id="{BB2F35FB-6D03-492F-B8AB-56D4A139C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742" name="Picture 741" descr="http://www.abs.gov.au/icons/ecblank.gif">
          <a:extLst>
            <a:ext uri="{FF2B5EF4-FFF2-40B4-BE49-F238E27FC236}">
              <a16:creationId xmlns:a16="http://schemas.microsoft.com/office/drawing/2014/main" id="{E192F2CE-9520-4883-BC54-34178359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743" name="Picture 742" descr="http://www.abs.gov.au/icons/ecblank.gif">
          <a:extLst>
            <a:ext uri="{FF2B5EF4-FFF2-40B4-BE49-F238E27FC236}">
              <a16:creationId xmlns:a16="http://schemas.microsoft.com/office/drawing/2014/main" id="{CF79A55B-1D45-4478-A0CB-72EF8B8A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744" name="Picture 743" descr="http://www.abs.gov.au/icons/ecblank.gif">
          <a:extLst>
            <a:ext uri="{FF2B5EF4-FFF2-40B4-BE49-F238E27FC236}">
              <a16:creationId xmlns:a16="http://schemas.microsoft.com/office/drawing/2014/main" id="{E57E0BF8-E130-48CB-B223-5B405A5A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745" name="Picture 744" descr="http://www.abs.gov.au/icons/ecblank.gif">
          <a:extLst>
            <a:ext uri="{FF2B5EF4-FFF2-40B4-BE49-F238E27FC236}">
              <a16:creationId xmlns:a16="http://schemas.microsoft.com/office/drawing/2014/main" id="{541E72D2-F8EE-42A1-8D5A-06642971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746" name="Picture 745" descr="http://www.abs.gov.au/icons/ecblank.gif">
          <a:extLst>
            <a:ext uri="{FF2B5EF4-FFF2-40B4-BE49-F238E27FC236}">
              <a16:creationId xmlns:a16="http://schemas.microsoft.com/office/drawing/2014/main" id="{A883B1C4-CC6E-42C7-9E4F-7E8BC5CE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747" name="Picture 746" descr="http://www.abs.gov.au/icons/ecblank.gif">
          <a:extLst>
            <a:ext uri="{FF2B5EF4-FFF2-40B4-BE49-F238E27FC236}">
              <a16:creationId xmlns:a16="http://schemas.microsoft.com/office/drawing/2014/main" id="{6FDF512E-B2C7-4068-B9A5-69FCB0B1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748" name="Picture 747" descr="http://www.abs.gov.au/icons/ecblank.gif">
          <a:extLst>
            <a:ext uri="{FF2B5EF4-FFF2-40B4-BE49-F238E27FC236}">
              <a16:creationId xmlns:a16="http://schemas.microsoft.com/office/drawing/2014/main" id="{98DA5CB1-B6BA-4444-BC71-B6E1DAE2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749" name="Picture 748" descr="http://www.abs.gov.au/icons/ecblank.gif">
          <a:extLst>
            <a:ext uri="{FF2B5EF4-FFF2-40B4-BE49-F238E27FC236}">
              <a16:creationId xmlns:a16="http://schemas.microsoft.com/office/drawing/2014/main" id="{0D4188FC-BEBC-496E-9BEB-2CAFDEBE8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750" name="Picture 749" descr="http://www.abs.gov.au/icons/ecblank.gif">
          <a:extLst>
            <a:ext uri="{FF2B5EF4-FFF2-40B4-BE49-F238E27FC236}">
              <a16:creationId xmlns:a16="http://schemas.microsoft.com/office/drawing/2014/main" id="{A0D6EC03-09C3-40D7-8E6F-FC2AFE6BA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95</xdr:row>
      <xdr:rowOff>0</xdr:rowOff>
    </xdr:from>
    <xdr:to>
      <xdr:col>17</xdr:col>
      <xdr:colOff>0</xdr:colOff>
      <xdr:row>95</xdr:row>
      <xdr:rowOff>9525</xdr:rowOff>
    </xdr:to>
    <xdr:pic>
      <xdr:nvPicPr>
        <xdr:cNvPr id="751" name="Picture 750" descr="http://www.abs.gov.au/icons/ecblank.gif">
          <a:extLst>
            <a:ext uri="{FF2B5EF4-FFF2-40B4-BE49-F238E27FC236}">
              <a16:creationId xmlns:a16="http://schemas.microsoft.com/office/drawing/2014/main" id="{31C3149A-1A9D-46CC-A77B-92E6E7DA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8888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752" name="Picture 751" descr="http://www.abs.gov.au/icons/ecblank.gif">
          <a:extLst>
            <a:ext uri="{FF2B5EF4-FFF2-40B4-BE49-F238E27FC236}">
              <a16:creationId xmlns:a16="http://schemas.microsoft.com/office/drawing/2014/main" id="{1ED8EB7D-1C7D-46E4-8518-6AC3F3A2B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79</xdr:row>
      <xdr:rowOff>0</xdr:rowOff>
    </xdr:from>
    <xdr:to>
      <xdr:col>17</xdr:col>
      <xdr:colOff>0</xdr:colOff>
      <xdr:row>79</xdr:row>
      <xdr:rowOff>9525</xdr:rowOff>
    </xdr:to>
    <xdr:pic>
      <xdr:nvPicPr>
        <xdr:cNvPr id="753" name="Picture 752" descr="http://www.abs.gov.au/icons/ecblank.gif">
          <a:extLst>
            <a:ext uri="{FF2B5EF4-FFF2-40B4-BE49-F238E27FC236}">
              <a16:creationId xmlns:a16="http://schemas.microsoft.com/office/drawing/2014/main" id="{EDE3EFBA-1EEF-49FA-BEA7-F3E862E8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5840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754" name="Picture 753" descr="http://www.abs.gov.au/icons/ecblank.gif">
          <a:extLst>
            <a:ext uri="{FF2B5EF4-FFF2-40B4-BE49-F238E27FC236}">
              <a16:creationId xmlns:a16="http://schemas.microsoft.com/office/drawing/2014/main" id="{DBBD3FF7-7996-4182-892E-BC3AB59F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755" name="Picture 754" descr="http://www.abs.gov.au/icons/ecblank.gif">
          <a:extLst>
            <a:ext uri="{FF2B5EF4-FFF2-40B4-BE49-F238E27FC236}">
              <a16:creationId xmlns:a16="http://schemas.microsoft.com/office/drawing/2014/main" id="{D07295C0-01D5-442F-BBDA-ADB08891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756" name="Picture 755" descr="http://www.abs.gov.au/icons/ecblank.gif">
          <a:extLst>
            <a:ext uri="{FF2B5EF4-FFF2-40B4-BE49-F238E27FC236}">
              <a16:creationId xmlns:a16="http://schemas.microsoft.com/office/drawing/2014/main" id="{BBD8F665-31F4-4656-A7B0-E3676166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757" name="Picture 756" descr="http://www.abs.gov.au/icons/ecblank.gif">
          <a:extLst>
            <a:ext uri="{FF2B5EF4-FFF2-40B4-BE49-F238E27FC236}">
              <a16:creationId xmlns:a16="http://schemas.microsoft.com/office/drawing/2014/main" id="{36E4B564-A02D-41C4-A3C4-7411A1B2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758" name="Picture 757" descr="http://www.abs.gov.au/icons/ecblank.gif">
          <a:extLst>
            <a:ext uri="{FF2B5EF4-FFF2-40B4-BE49-F238E27FC236}">
              <a16:creationId xmlns:a16="http://schemas.microsoft.com/office/drawing/2014/main" id="{4521039D-744E-4083-A09C-D2BF048D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759" name="Picture 758" descr="http://www.abs.gov.au/icons/ecblank.gif">
          <a:extLst>
            <a:ext uri="{FF2B5EF4-FFF2-40B4-BE49-F238E27FC236}">
              <a16:creationId xmlns:a16="http://schemas.microsoft.com/office/drawing/2014/main" id="{741ECFCE-00A1-4A34-AFDE-2DC06D5C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760" name="Picture 759" descr="http://www.abs.gov.au/icons/ecblank.gif">
          <a:extLst>
            <a:ext uri="{FF2B5EF4-FFF2-40B4-BE49-F238E27FC236}">
              <a16:creationId xmlns:a16="http://schemas.microsoft.com/office/drawing/2014/main" id="{D873C8C1-4C7F-4253-B985-639D40C3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761" name="Picture 760" descr="http://www.abs.gov.au/icons/ecblank.gif">
          <a:extLst>
            <a:ext uri="{FF2B5EF4-FFF2-40B4-BE49-F238E27FC236}">
              <a16:creationId xmlns:a16="http://schemas.microsoft.com/office/drawing/2014/main" id="{C0FD5A31-C709-4AA5-97D0-A87F6C2A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762" name="Picture 108" descr="http://www.abs.gov.au/icons/ecblank.gif">
          <a:extLst>
            <a:ext uri="{FF2B5EF4-FFF2-40B4-BE49-F238E27FC236}">
              <a16:creationId xmlns:a16="http://schemas.microsoft.com/office/drawing/2014/main" id="{E6B7BAA7-39D2-479A-BD6F-3384B1CC5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0</xdr:colOff>
      <xdr:row>81</xdr:row>
      <xdr:rowOff>9525</xdr:rowOff>
    </xdr:to>
    <xdr:pic>
      <xdr:nvPicPr>
        <xdr:cNvPr id="763" name="Picture 109" descr="http://www.abs.gov.au/icons/ecblank.gif">
          <a:extLst>
            <a:ext uri="{FF2B5EF4-FFF2-40B4-BE49-F238E27FC236}">
              <a16:creationId xmlns:a16="http://schemas.microsoft.com/office/drawing/2014/main" id="{CE7E7952-9233-49FF-AC5C-D5AAD22E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221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764" name="Picture 110" descr="http://www.abs.gov.au/icons/ecblank.gif">
          <a:extLst>
            <a:ext uri="{FF2B5EF4-FFF2-40B4-BE49-F238E27FC236}">
              <a16:creationId xmlns:a16="http://schemas.microsoft.com/office/drawing/2014/main" id="{7B797B66-DF6B-48AA-B55E-EA9E4489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97</xdr:row>
      <xdr:rowOff>0</xdr:rowOff>
    </xdr:from>
    <xdr:to>
      <xdr:col>17</xdr:col>
      <xdr:colOff>0</xdr:colOff>
      <xdr:row>97</xdr:row>
      <xdr:rowOff>9525</xdr:rowOff>
    </xdr:to>
    <xdr:pic>
      <xdr:nvPicPr>
        <xdr:cNvPr id="765" name="Picture 111" descr="http://www.abs.gov.au/icons/ecblank.gif">
          <a:extLst>
            <a:ext uri="{FF2B5EF4-FFF2-40B4-BE49-F238E27FC236}">
              <a16:creationId xmlns:a16="http://schemas.microsoft.com/office/drawing/2014/main" id="{54410905-D18B-4303-8BEE-B266E253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269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766" name="Picture 765" descr="http://www.abs.gov.au/icons/ecblank.gif">
          <a:extLst>
            <a:ext uri="{FF2B5EF4-FFF2-40B4-BE49-F238E27FC236}">
              <a16:creationId xmlns:a16="http://schemas.microsoft.com/office/drawing/2014/main" id="{567378C1-FFEE-451F-BBE0-025ADECF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767" name="Picture 766" descr="http://www.abs.gov.au/icons/ecblank.gif">
          <a:extLst>
            <a:ext uri="{FF2B5EF4-FFF2-40B4-BE49-F238E27FC236}">
              <a16:creationId xmlns:a16="http://schemas.microsoft.com/office/drawing/2014/main" id="{571DD6E3-E379-4AAD-A3C2-533C95DBC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768" name="Picture 767" descr="http://www.abs.gov.au/icons/ecblank.gif">
          <a:extLst>
            <a:ext uri="{FF2B5EF4-FFF2-40B4-BE49-F238E27FC236}">
              <a16:creationId xmlns:a16="http://schemas.microsoft.com/office/drawing/2014/main" id="{EDF921F9-E511-4E2F-80CB-3F31D4C0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769" name="Picture 768" descr="http://www.abs.gov.au/icons/ecblank.gif">
          <a:extLst>
            <a:ext uri="{FF2B5EF4-FFF2-40B4-BE49-F238E27FC236}">
              <a16:creationId xmlns:a16="http://schemas.microsoft.com/office/drawing/2014/main" id="{FEE74C2B-DA38-4736-9CA6-911C6E16A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770" name="Picture 769" descr="http://www.abs.gov.au/icons/ecblank.gif">
          <a:extLst>
            <a:ext uri="{FF2B5EF4-FFF2-40B4-BE49-F238E27FC236}">
              <a16:creationId xmlns:a16="http://schemas.microsoft.com/office/drawing/2014/main" id="{CCC2C913-1800-4BA1-8AF3-79C7F88CB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771" name="Picture 770" descr="http://www.abs.gov.au/icons/ecblank.gif">
          <a:extLst>
            <a:ext uri="{FF2B5EF4-FFF2-40B4-BE49-F238E27FC236}">
              <a16:creationId xmlns:a16="http://schemas.microsoft.com/office/drawing/2014/main" id="{40EFA9C5-33E1-421F-AC73-173919BC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772" name="Picture 771" descr="http://www.abs.gov.au/icons/ecblank.gif">
          <a:extLst>
            <a:ext uri="{FF2B5EF4-FFF2-40B4-BE49-F238E27FC236}">
              <a16:creationId xmlns:a16="http://schemas.microsoft.com/office/drawing/2014/main" id="{B6EE9A8C-9F6F-4A72-9040-CEA3E4E5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773" name="Picture 772" descr="http://www.abs.gov.au/icons/ecblank.gif">
          <a:extLst>
            <a:ext uri="{FF2B5EF4-FFF2-40B4-BE49-F238E27FC236}">
              <a16:creationId xmlns:a16="http://schemas.microsoft.com/office/drawing/2014/main" id="{ACA07AC5-CCCC-4BB1-B08E-B789087EF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774" name="Picture 108" descr="http://www.abs.gov.au/icons/ecblank.gif">
          <a:extLst>
            <a:ext uri="{FF2B5EF4-FFF2-40B4-BE49-F238E27FC236}">
              <a16:creationId xmlns:a16="http://schemas.microsoft.com/office/drawing/2014/main" id="{B59F4D7B-278B-462A-9593-E724EEED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0</xdr:colOff>
      <xdr:row>80</xdr:row>
      <xdr:rowOff>9525</xdr:rowOff>
    </xdr:to>
    <xdr:pic>
      <xdr:nvPicPr>
        <xdr:cNvPr id="775" name="Picture 109" descr="http://www.abs.gov.au/icons/ecblank.gif">
          <a:extLst>
            <a:ext uri="{FF2B5EF4-FFF2-40B4-BE49-F238E27FC236}">
              <a16:creationId xmlns:a16="http://schemas.microsoft.com/office/drawing/2014/main" id="{BDE72105-FDBB-421F-93BC-30DD47A41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6030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776" name="Picture 110" descr="http://www.abs.gov.au/icons/ecblank.gif">
          <a:extLst>
            <a:ext uri="{FF2B5EF4-FFF2-40B4-BE49-F238E27FC236}">
              <a16:creationId xmlns:a16="http://schemas.microsoft.com/office/drawing/2014/main" id="{B67BE655-A734-49E4-964D-CFABC4AB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96</xdr:row>
      <xdr:rowOff>0</xdr:rowOff>
    </xdr:from>
    <xdr:to>
      <xdr:col>17</xdr:col>
      <xdr:colOff>0</xdr:colOff>
      <xdr:row>96</xdr:row>
      <xdr:rowOff>9525</xdr:rowOff>
    </xdr:to>
    <xdr:pic>
      <xdr:nvPicPr>
        <xdr:cNvPr id="777" name="Picture 111" descr="http://www.abs.gov.au/icons/ecblank.gif">
          <a:extLst>
            <a:ext uri="{FF2B5EF4-FFF2-40B4-BE49-F238E27FC236}">
              <a16:creationId xmlns:a16="http://schemas.microsoft.com/office/drawing/2014/main" id="{A10DAF18-8469-48D5-8624-336EFDE7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392025" y="1907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79</xdr:row>
      <xdr:rowOff>9525</xdr:rowOff>
    </xdr:to>
    <xdr:pic>
      <xdr:nvPicPr>
        <xdr:cNvPr id="838" name="Picture 837" descr="http://www.abs.gov.au/icons/ecblank.gif">
          <a:extLst>
            <a:ext uri="{FF2B5EF4-FFF2-40B4-BE49-F238E27FC236}">
              <a16:creationId xmlns:a16="http://schemas.microsoft.com/office/drawing/2014/main" id="{3DD001B7-9385-4DB2-8465-6A025224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058150" y="13668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79</xdr:row>
      <xdr:rowOff>9525</xdr:rowOff>
    </xdr:to>
    <xdr:pic>
      <xdr:nvPicPr>
        <xdr:cNvPr id="839" name="Picture 838" descr="http://www.abs.gov.au/icons/ecblank.gif">
          <a:extLst>
            <a:ext uri="{FF2B5EF4-FFF2-40B4-BE49-F238E27FC236}">
              <a16:creationId xmlns:a16="http://schemas.microsoft.com/office/drawing/2014/main" id="{72F2DCA2-8BA0-4870-9594-39DDBC93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058150" y="13668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0</xdr:colOff>
      <xdr:row>95</xdr:row>
      <xdr:rowOff>9525</xdr:rowOff>
    </xdr:to>
    <xdr:pic>
      <xdr:nvPicPr>
        <xdr:cNvPr id="840" name="Picture 839" descr="http://www.abs.gov.au/icons/ecblank.gif">
          <a:extLst>
            <a:ext uri="{FF2B5EF4-FFF2-40B4-BE49-F238E27FC236}">
              <a16:creationId xmlns:a16="http://schemas.microsoft.com/office/drawing/2014/main" id="{054F3FFB-51E6-49F3-B9D7-52AF1822E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058150" y="162591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0</xdr:colOff>
      <xdr:row>95</xdr:row>
      <xdr:rowOff>9525</xdr:rowOff>
    </xdr:to>
    <xdr:pic>
      <xdr:nvPicPr>
        <xdr:cNvPr id="841" name="Picture 840" descr="http://www.abs.gov.au/icons/ecblank.gif">
          <a:extLst>
            <a:ext uri="{FF2B5EF4-FFF2-40B4-BE49-F238E27FC236}">
              <a16:creationId xmlns:a16="http://schemas.microsoft.com/office/drawing/2014/main" id="{21583F27-6020-40F4-BCFE-8C76E200E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058150" y="162591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79</xdr:row>
      <xdr:rowOff>9525</xdr:rowOff>
    </xdr:to>
    <xdr:pic>
      <xdr:nvPicPr>
        <xdr:cNvPr id="842" name="Picture 841" descr="http://www.abs.gov.au/icons/ecblank.gif">
          <a:extLst>
            <a:ext uri="{FF2B5EF4-FFF2-40B4-BE49-F238E27FC236}">
              <a16:creationId xmlns:a16="http://schemas.microsoft.com/office/drawing/2014/main" id="{43775286-4453-4AFE-A520-38AE6A5D2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058150" y="13668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79</xdr:row>
      <xdr:rowOff>9525</xdr:rowOff>
    </xdr:to>
    <xdr:pic>
      <xdr:nvPicPr>
        <xdr:cNvPr id="843" name="Picture 842" descr="http://www.abs.gov.au/icons/ecblank.gif">
          <a:extLst>
            <a:ext uri="{FF2B5EF4-FFF2-40B4-BE49-F238E27FC236}">
              <a16:creationId xmlns:a16="http://schemas.microsoft.com/office/drawing/2014/main" id="{52D89B84-1444-4763-8788-0671D4F61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058150" y="13668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0</xdr:colOff>
      <xdr:row>95</xdr:row>
      <xdr:rowOff>9525</xdr:rowOff>
    </xdr:to>
    <xdr:pic>
      <xdr:nvPicPr>
        <xdr:cNvPr id="844" name="Picture 843" descr="http://www.abs.gov.au/icons/ecblank.gif">
          <a:extLst>
            <a:ext uri="{FF2B5EF4-FFF2-40B4-BE49-F238E27FC236}">
              <a16:creationId xmlns:a16="http://schemas.microsoft.com/office/drawing/2014/main" id="{0375C370-603F-44F3-89A2-2E377857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058150" y="162591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0</xdr:colOff>
      <xdr:row>95</xdr:row>
      <xdr:rowOff>9525</xdr:rowOff>
    </xdr:to>
    <xdr:pic>
      <xdr:nvPicPr>
        <xdr:cNvPr id="845" name="Picture 844" descr="http://www.abs.gov.au/icons/ecblank.gif">
          <a:extLst>
            <a:ext uri="{FF2B5EF4-FFF2-40B4-BE49-F238E27FC236}">
              <a16:creationId xmlns:a16="http://schemas.microsoft.com/office/drawing/2014/main" id="{BC9997B5-31DD-4512-8225-0EAD6B872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058150" y="162591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9525</xdr:colOff>
      <xdr:row>80</xdr:row>
      <xdr:rowOff>9525</xdr:rowOff>
    </xdr:to>
    <xdr:pic>
      <xdr:nvPicPr>
        <xdr:cNvPr id="846" name="Picture 845" descr="http://www.abs.gov.au/icons/ecblank.gif">
          <a:extLst>
            <a:ext uri="{FF2B5EF4-FFF2-40B4-BE49-F238E27FC236}">
              <a16:creationId xmlns:a16="http://schemas.microsoft.com/office/drawing/2014/main" id="{8FF70922-0D1B-492A-A31C-6AE85D41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01275" y="1383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80</xdr:row>
      <xdr:rowOff>0</xdr:rowOff>
    </xdr:from>
    <xdr:to>
      <xdr:col>15</xdr:col>
      <xdr:colOff>9525</xdr:colOff>
      <xdr:row>80</xdr:row>
      <xdr:rowOff>9525</xdr:rowOff>
    </xdr:to>
    <xdr:pic>
      <xdr:nvPicPr>
        <xdr:cNvPr id="847" name="Picture 846" descr="http://www.abs.gov.au/icons/ecblank.gif">
          <a:extLst>
            <a:ext uri="{FF2B5EF4-FFF2-40B4-BE49-F238E27FC236}">
              <a16:creationId xmlns:a16="http://schemas.microsoft.com/office/drawing/2014/main" id="{7443087A-90CF-4E5B-8F2D-42DDF429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01275" y="1383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9525</xdr:colOff>
      <xdr:row>96</xdr:row>
      <xdr:rowOff>9525</xdr:rowOff>
    </xdr:to>
    <xdr:pic>
      <xdr:nvPicPr>
        <xdr:cNvPr id="848" name="Picture 847" descr="http://www.abs.gov.au/icons/ecblank.gif">
          <a:extLst>
            <a:ext uri="{FF2B5EF4-FFF2-40B4-BE49-F238E27FC236}">
              <a16:creationId xmlns:a16="http://schemas.microsoft.com/office/drawing/2014/main" id="{0E92D49C-777C-4435-803D-C3B8835AE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01275" y="1642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9525</xdr:colOff>
      <xdr:row>96</xdr:row>
      <xdr:rowOff>9525</xdr:rowOff>
    </xdr:to>
    <xdr:pic>
      <xdr:nvPicPr>
        <xdr:cNvPr id="849" name="Picture 848" descr="http://www.abs.gov.au/icons/ecblank.gif">
          <a:extLst>
            <a:ext uri="{FF2B5EF4-FFF2-40B4-BE49-F238E27FC236}">
              <a16:creationId xmlns:a16="http://schemas.microsoft.com/office/drawing/2014/main" id="{FDF06EFB-A5B8-4778-BD30-23C032D2D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201275" y="1642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850" name="Picture 849" descr="http://www.abs.gov.au/icons/ecblank.gif">
          <a:extLst>
            <a:ext uri="{FF2B5EF4-FFF2-40B4-BE49-F238E27FC236}">
              <a16:creationId xmlns:a16="http://schemas.microsoft.com/office/drawing/2014/main" id="{C80A43AC-3578-473D-85EC-FE18DC4E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830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851" name="Picture 850" descr="http://www.abs.gov.au/icons/ecblank.gif">
          <a:extLst>
            <a:ext uri="{FF2B5EF4-FFF2-40B4-BE49-F238E27FC236}">
              <a16:creationId xmlns:a16="http://schemas.microsoft.com/office/drawing/2014/main" id="{E9F03FDE-7EE4-45F6-B05D-5B7BC3A0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830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852" name="Picture 851" descr="http://www.abs.gov.au/icons/ecblank.gif">
          <a:extLst>
            <a:ext uri="{FF2B5EF4-FFF2-40B4-BE49-F238E27FC236}">
              <a16:creationId xmlns:a16="http://schemas.microsoft.com/office/drawing/2014/main" id="{E4C6FE0D-8218-4971-9329-CD62D40F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21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853" name="Picture 852" descr="http://www.abs.gov.au/icons/ecblank.gif">
          <a:extLst>
            <a:ext uri="{FF2B5EF4-FFF2-40B4-BE49-F238E27FC236}">
              <a16:creationId xmlns:a16="http://schemas.microsoft.com/office/drawing/2014/main" id="{8E714CBA-5CE7-438D-B189-F53C5358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21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854" name="Picture 853" descr="http://www.abs.gov.au/icons/ecblank.gif">
          <a:extLst>
            <a:ext uri="{FF2B5EF4-FFF2-40B4-BE49-F238E27FC236}">
              <a16:creationId xmlns:a16="http://schemas.microsoft.com/office/drawing/2014/main" id="{D169708B-5394-445E-A5E5-155ED14F6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830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855" name="Picture 854" descr="http://www.abs.gov.au/icons/ecblank.gif">
          <a:extLst>
            <a:ext uri="{FF2B5EF4-FFF2-40B4-BE49-F238E27FC236}">
              <a16:creationId xmlns:a16="http://schemas.microsoft.com/office/drawing/2014/main" id="{2EE1511A-ADAD-4808-A97D-4D1C0663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830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856" name="Picture 855" descr="http://www.abs.gov.au/icons/ecblank.gif">
          <a:extLst>
            <a:ext uri="{FF2B5EF4-FFF2-40B4-BE49-F238E27FC236}">
              <a16:creationId xmlns:a16="http://schemas.microsoft.com/office/drawing/2014/main" id="{B89A8A10-285C-4D28-9DAF-B3BBE2DC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21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857" name="Picture 856" descr="http://www.abs.gov.au/icons/ecblank.gif">
          <a:extLst>
            <a:ext uri="{FF2B5EF4-FFF2-40B4-BE49-F238E27FC236}">
              <a16:creationId xmlns:a16="http://schemas.microsoft.com/office/drawing/2014/main" id="{A7AFE0DF-56E8-426A-96CF-3458C52D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21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858" name="Picture 857" descr="http://www.abs.gov.au/icons/ecblank.gif">
          <a:extLst>
            <a:ext uri="{FF2B5EF4-FFF2-40B4-BE49-F238E27FC236}">
              <a16:creationId xmlns:a16="http://schemas.microsoft.com/office/drawing/2014/main" id="{07D04CED-0399-4526-AF13-03FB2D47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830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859" name="Picture 858" descr="http://www.abs.gov.au/icons/ecblank.gif">
          <a:extLst>
            <a:ext uri="{FF2B5EF4-FFF2-40B4-BE49-F238E27FC236}">
              <a16:creationId xmlns:a16="http://schemas.microsoft.com/office/drawing/2014/main" id="{11CABBEE-FBDA-4780-BEC9-E836B64A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830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860" name="Picture 859" descr="http://www.abs.gov.au/icons/ecblank.gif">
          <a:extLst>
            <a:ext uri="{FF2B5EF4-FFF2-40B4-BE49-F238E27FC236}">
              <a16:creationId xmlns:a16="http://schemas.microsoft.com/office/drawing/2014/main" id="{C0638C22-A465-4ABA-9D84-CDCA40904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830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861" name="Picture 860" descr="http://www.abs.gov.au/icons/ecblank.gif">
          <a:extLst>
            <a:ext uri="{FF2B5EF4-FFF2-40B4-BE49-F238E27FC236}">
              <a16:creationId xmlns:a16="http://schemas.microsoft.com/office/drawing/2014/main" id="{62A3B2EF-97D6-40EE-992D-66CA8FD6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830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862" name="Picture 861" descr="http://www.abs.gov.au/icons/ecblank.gif">
          <a:extLst>
            <a:ext uri="{FF2B5EF4-FFF2-40B4-BE49-F238E27FC236}">
              <a16:creationId xmlns:a16="http://schemas.microsoft.com/office/drawing/2014/main" id="{44E9CB2F-6CD9-4D09-9E4D-829EFFB4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21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0</xdr:colOff>
      <xdr:row>96</xdr:row>
      <xdr:rowOff>9525</xdr:rowOff>
    </xdr:to>
    <xdr:pic>
      <xdr:nvPicPr>
        <xdr:cNvPr id="863" name="Picture 862" descr="http://www.abs.gov.au/icons/ecblank.gif">
          <a:extLst>
            <a:ext uri="{FF2B5EF4-FFF2-40B4-BE49-F238E27FC236}">
              <a16:creationId xmlns:a16="http://schemas.microsoft.com/office/drawing/2014/main" id="{553E1A1D-6F2A-4631-A429-11FC7D94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4211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864" name="Picture 863" descr="http://www.abs.gov.au/icons/ecblank.gif">
          <a:extLst>
            <a:ext uri="{FF2B5EF4-FFF2-40B4-BE49-F238E27FC236}">
              <a16:creationId xmlns:a16="http://schemas.microsoft.com/office/drawing/2014/main" id="{87880395-414D-4F1F-B654-654880A0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830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0</xdr:colOff>
      <xdr:row>80</xdr:row>
      <xdr:rowOff>9525</xdr:rowOff>
    </xdr:to>
    <xdr:pic>
      <xdr:nvPicPr>
        <xdr:cNvPr id="865" name="Picture 864" descr="http://www.abs.gov.au/icons/ecblank.gif">
          <a:extLst>
            <a:ext uri="{FF2B5EF4-FFF2-40B4-BE49-F238E27FC236}">
              <a16:creationId xmlns:a16="http://schemas.microsoft.com/office/drawing/2014/main" id="{1E5298E1-584D-4B78-AF66-A38DE2A3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830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866" name="Picture 865" descr="http://www.abs.gov.au/icons/ecblank.gif">
          <a:extLst>
            <a:ext uri="{FF2B5EF4-FFF2-40B4-BE49-F238E27FC236}">
              <a16:creationId xmlns:a16="http://schemas.microsoft.com/office/drawing/2014/main" id="{C4053B2F-CD85-46B7-A9B4-A4EC85532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4154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867" name="Picture 866" descr="http://www.abs.gov.au/icons/ecblank.gif">
          <a:extLst>
            <a:ext uri="{FF2B5EF4-FFF2-40B4-BE49-F238E27FC236}">
              <a16:creationId xmlns:a16="http://schemas.microsoft.com/office/drawing/2014/main" id="{48B4E9BE-9930-485B-AE84-F6CEA56B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4154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868" name="Picture 867" descr="http://www.abs.gov.au/icons/ecblank.gif">
          <a:extLst>
            <a:ext uri="{FF2B5EF4-FFF2-40B4-BE49-F238E27FC236}">
              <a16:creationId xmlns:a16="http://schemas.microsoft.com/office/drawing/2014/main" id="{CA02D88F-E0CB-42D0-9A67-92458672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744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869" name="Picture 868" descr="http://www.abs.gov.au/icons/ecblank.gif">
          <a:extLst>
            <a:ext uri="{FF2B5EF4-FFF2-40B4-BE49-F238E27FC236}">
              <a16:creationId xmlns:a16="http://schemas.microsoft.com/office/drawing/2014/main" id="{4C16F1C5-83F4-4715-A958-1C788FA8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744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870" name="Picture 869" descr="http://www.abs.gov.au/icons/ecblank.gif">
          <a:extLst>
            <a:ext uri="{FF2B5EF4-FFF2-40B4-BE49-F238E27FC236}">
              <a16:creationId xmlns:a16="http://schemas.microsoft.com/office/drawing/2014/main" id="{98761A7F-C244-4F93-B284-DD411C52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4154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871" name="Picture 870" descr="http://www.abs.gov.au/icons/ecblank.gif">
          <a:extLst>
            <a:ext uri="{FF2B5EF4-FFF2-40B4-BE49-F238E27FC236}">
              <a16:creationId xmlns:a16="http://schemas.microsoft.com/office/drawing/2014/main" id="{AADD567E-4912-43BB-90CD-74BD547C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4154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872" name="Picture 871" descr="http://www.abs.gov.au/icons/ecblank.gif">
          <a:extLst>
            <a:ext uri="{FF2B5EF4-FFF2-40B4-BE49-F238E27FC236}">
              <a16:creationId xmlns:a16="http://schemas.microsoft.com/office/drawing/2014/main" id="{9C00BB2C-3BD6-45F0-A9FC-994146E9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744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873" name="Picture 872" descr="http://www.abs.gov.au/icons/ecblank.gif">
          <a:extLst>
            <a:ext uri="{FF2B5EF4-FFF2-40B4-BE49-F238E27FC236}">
              <a16:creationId xmlns:a16="http://schemas.microsoft.com/office/drawing/2014/main" id="{1FCA5FFB-4C0F-459B-BDD0-252F5D54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744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874" name="Picture 108" descr="http://www.abs.gov.au/icons/ecblank.gif">
          <a:extLst>
            <a:ext uri="{FF2B5EF4-FFF2-40B4-BE49-F238E27FC236}">
              <a16:creationId xmlns:a16="http://schemas.microsoft.com/office/drawing/2014/main" id="{5447F39E-E2D1-45AD-A84A-9E973D10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4154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9525</xdr:rowOff>
    </xdr:to>
    <xdr:pic>
      <xdr:nvPicPr>
        <xdr:cNvPr id="875" name="Picture 109" descr="http://www.abs.gov.au/icons/ecblank.gif">
          <a:extLst>
            <a:ext uri="{FF2B5EF4-FFF2-40B4-BE49-F238E27FC236}">
              <a16:creationId xmlns:a16="http://schemas.microsoft.com/office/drawing/2014/main" id="{33940E7C-EB4D-4DE5-9CF9-8F1E5D8D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41541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876" name="Picture 110" descr="http://www.abs.gov.au/icons/ecblank.gif">
          <a:extLst>
            <a:ext uri="{FF2B5EF4-FFF2-40B4-BE49-F238E27FC236}">
              <a16:creationId xmlns:a16="http://schemas.microsoft.com/office/drawing/2014/main" id="{CB2449FB-AD51-47DD-8BA5-289925B75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744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0</xdr:colOff>
      <xdr:row>98</xdr:row>
      <xdr:rowOff>9525</xdr:rowOff>
    </xdr:to>
    <xdr:pic>
      <xdr:nvPicPr>
        <xdr:cNvPr id="877" name="Picture 111" descr="http://www.abs.gov.au/icons/ecblank.gif">
          <a:extLst>
            <a:ext uri="{FF2B5EF4-FFF2-40B4-BE49-F238E27FC236}">
              <a16:creationId xmlns:a16="http://schemas.microsoft.com/office/drawing/2014/main" id="{6B02F091-A4D7-4E0C-BD28-477F2D6C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744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878" name="Picture 877" descr="http://www.abs.gov.au/icons/ecblank.gif">
          <a:extLst>
            <a:ext uri="{FF2B5EF4-FFF2-40B4-BE49-F238E27FC236}">
              <a16:creationId xmlns:a16="http://schemas.microsoft.com/office/drawing/2014/main" id="{0959315F-F6AE-46CD-A92A-39D48489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9922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879" name="Picture 878" descr="http://www.abs.gov.au/icons/ecblank.gif">
          <a:extLst>
            <a:ext uri="{FF2B5EF4-FFF2-40B4-BE49-F238E27FC236}">
              <a16:creationId xmlns:a16="http://schemas.microsoft.com/office/drawing/2014/main" id="{6B78D13C-F9AF-482A-A6C4-E9F05383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9922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880" name="Picture 879" descr="http://www.abs.gov.au/icons/ecblank.gif">
          <a:extLst>
            <a:ext uri="{FF2B5EF4-FFF2-40B4-BE49-F238E27FC236}">
              <a16:creationId xmlns:a16="http://schemas.microsoft.com/office/drawing/2014/main" id="{1697310F-B5B4-4956-8538-D4EDA5EA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583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881" name="Picture 880" descr="http://www.abs.gov.au/icons/ecblank.gif">
          <a:extLst>
            <a:ext uri="{FF2B5EF4-FFF2-40B4-BE49-F238E27FC236}">
              <a16:creationId xmlns:a16="http://schemas.microsoft.com/office/drawing/2014/main" id="{AA80818D-DC4E-45DD-ABD6-E7359E8A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583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882" name="Picture 881" descr="http://www.abs.gov.au/icons/ecblank.gif">
          <a:extLst>
            <a:ext uri="{FF2B5EF4-FFF2-40B4-BE49-F238E27FC236}">
              <a16:creationId xmlns:a16="http://schemas.microsoft.com/office/drawing/2014/main" id="{06310915-1AF9-4F21-9C1F-BB95CB7C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9922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883" name="Picture 882" descr="http://www.abs.gov.au/icons/ecblank.gif">
          <a:extLst>
            <a:ext uri="{FF2B5EF4-FFF2-40B4-BE49-F238E27FC236}">
              <a16:creationId xmlns:a16="http://schemas.microsoft.com/office/drawing/2014/main" id="{4F8981EA-677D-4F53-99BB-03FBDF25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9922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884" name="Picture 883" descr="http://www.abs.gov.au/icons/ecblank.gif">
          <a:extLst>
            <a:ext uri="{FF2B5EF4-FFF2-40B4-BE49-F238E27FC236}">
              <a16:creationId xmlns:a16="http://schemas.microsoft.com/office/drawing/2014/main" id="{910BB8B5-33B3-418D-A775-64C5AA32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583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885" name="Picture 884" descr="http://www.abs.gov.au/icons/ecblank.gif">
          <a:extLst>
            <a:ext uri="{FF2B5EF4-FFF2-40B4-BE49-F238E27FC236}">
              <a16:creationId xmlns:a16="http://schemas.microsoft.com/office/drawing/2014/main" id="{A12CDF8D-904C-4B90-8113-5AAF8C12B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583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886" name="Picture 108" descr="http://www.abs.gov.au/icons/ecblank.gif">
          <a:extLst>
            <a:ext uri="{FF2B5EF4-FFF2-40B4-BE49-F238E27FC236}">
              <a16:creationId xmlns:a16="http://schemas.microsoft.com/office/drawing/2014/main" id="{72D40B50-CF21-400B-B361-F2BFA6FD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9922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0</xdr:colOff>
      <xdr:row>81</xdr:row>
      <xdr:rowOff>9525</xdr:rowOff>
    </xdr:to>
    <xdr:pic>
      <xdr:nvPicPr>
        <xdr:cNvPr id="887" name="Picture 109" descr="http://www.abs.gov.au/icons/ecblank.gif">
          <a:extLst>
            <a:ext uri="{FF2B5EF4-FFF2-40B4-BE49-F238E27FC236}">
              <a16:creationId xmlns:a16="http://schemas.microsoft.com/office/drawing/2014/main" id="{519F7FA2-E6F4-4995-AF06-E917AEF8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39922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888" name="Picture 110" descr="http://www.abs.gov.au/icons/ecblank.gif">
          <a:extLst>
            <a:ext uri="{FF2B5EF4-FFF2-40B4-BE49-F238E27FC236}">
              <a16:creationId xmlns:a16="http://schemas.microsoft.com/office/drawing/2014/main" id="{194547E3-195C-486C-9B7E-F4BE5E18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583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9525</xdr:rowOff>
    </xdr:to>
    <xdr:pic>
      <xdr:nvPicPr>
        <xdr:cNvPr id="889" name="Picture 111" descr="http://www.abs.gov.au/icons/ecblank.gif">
          <a:extLst>
            <a:ext uri="{FF2B5EF4-FFF2-40B4-BE49-F238E27FC236}">
              <a16:creationId xmlns:a16="http://schemas.microsoft.com/office/drawing/2014/main" id="{ABADC14A-6CB3-4948-90BA-C39BC0F2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915650" y="165830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890" name="Picture 889" descr="http://www.abs.gov.au/icons/ecblank.gif">
          <a:extLst>
            <a:ext uri="{FF2B5EF4-FFF2-40B4-BE49-F238E27FC236}">
              <a16:creationId xmlns:a16="http://schemas.microsoft.com/office/drawing/2014/main" id="{2A4738A5-921F-4D8D-B9A1-0CB274B0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891" name="Picture 890" descr="http://www.abs.gov.au/icons/ecblank.gif">
          <a:extLst>
            <a:ext uri="{FF2B5EF4-FFF2-40B4-BE49-F238E27FC236}">
              <a16:creationId xmlns:a16="http://schemas.microsoft.com/office/drawing/2014/main" id="{10558CA5-0430-4B28-B71F-6A2CE5B9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892" name="Picture 891" descr="http://www.abs.gov.au/icons/ecblank.gif">
          <a:extLst>
            <a:ext uri="{FF2B5EF4-FFF2-40B4-BE49-F238E27FC236}">
              <a16:creationId xmlns:a16="http://schemas.microsoft.com/office/drawing/2014/main" id="{B0C3FF8A-4A34-4619-BC0B-8BF91FBE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893" name="Picture 892" descr="http://www.abs.gov.au/icons/ecblank.gif">
          <a:extLst>
            <a:ext uri="{FF2B5EF4-FFF2-40B4-BE49-F238E27FC236}">
              <a16:creationId xmlns:a16="http://schemas.microsoft.com/office/drawing/2014/main" id="{6E4DE420-4990-46E9-BDFF-61F4E059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894" name="Picture 893" descr="http://www.abs.gov.au/icons/ecblank.gif">
          <a:extLst>
            <a:ext uri="{FF2B5EF4-FFF2-40B4-BE49-F238E27FC236}">
              <a16:creationId xmlns:a16="http://schemas.microsoft.com/office/drawing/2014/main" id="{980D70F8-E1ED-40AD-B964-C3404EAF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895" name="Picture 894" descr="http://www.abs.gov.au/icons/ecblank.gif">
          <a:extLst>
            <a:ext uri="{FF2B5EF4-FFF2-40B4-BE49-F238E27FC236}">
              <a16:creationId xmlns:a16="http://schemas.microsoft.com/office/drawing/2014/main" id="{25F3600A-AC22-49C8-B59E-7AA41A11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896" name="Picture 895" descr="http://www.abs.gov.au/icons/ecblank.gif">
          <a:extLst>
            <a:ext uri="{FF2B5EF4-FFF2-40B4-BE49-F238E27FC236}">
              <a16:creationId xmlns:a16="http://schemas.microsoft.com/office/drawing/2014/main" id="{89B2C2A1-50F6-4B05-8121-A283D9C9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897" name="Picture 896" descr="http://www.abs.gov.au/icons/ecblank.gif">
          <a:extLst>
            <a:ext uri="{FF2B5EF4-FFF2-40B4-BE49-F238E27FC236}">
              <a16:creationId xmlns:a16="http://schemas.microsoft.com/office/drawing/2014/main" id="{F760156B-ECDC-472A-AF6B-88172D75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898" name="Picture 108" descr="http://www.abs.gov.au/icons/ecblank.gif">
          <a:extLst>
            <a:ext uri="{FF2B5EF4-FFF2-40B4-BE49-F238E27FC236}">
              <a16:creationId xmlns:a16="http://schemas.microsoft.com/office/drawing/2014/main" id="{B33A789D-58E5-4301-A726-748E48C2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899" name="Picture 109" descr="http://www.abs.gov.au/icons/ecblank.gif">
          <a:extLst>
            <a:ext uri="{FF2B5EF4-FFF2-40B4-BE49-F238E27FC236}">
              <a16:creationId xmlns:a16="http://schemas.microsoft.com/office/drawing/2014/main" id="{4E9764FA-1E79-4D35-B6E5-537D3B02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00" name="Picture 110" descr="http://www.abs.gov.au/icons/ecblank.gif">
          <a:extLst>
            <a:ext uri="{FF2B5EF4-FFF2-40B4-BE49-F238E27FC236}">
              <a16:creationId xmlns:a16="http://schemas.microsoft.com/office/drawing/2014/main" id="{52A85756-A030-400B-9DFB-3ED6FD98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01" name="Picture 111" descr="http://www.abs.gov.au/icons/ecblank.gif">
          <a:extLst>
            <a:ext uri="{FF2B5EF4-FFF2-40B4-BE49-F238E27FC236}">
              <a16:creationId xmlns:a16="http://schemas.microsoft.com/office/drawing/2014/main" id="{1A270D26-C4BB-4965-91BA-ABC4A259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02" name="Picture 901" descr="http://www.abs.gov.au/icons/ecblank.gif">
          <a:extLst>
            <a:ext uri="{FF2B5EF4-FFF2-40B4-BE49-F238E27FC236}">
              <a16:creationId xmlns:a16="http://schemas.microsoft.com/office/drawing/2014/main" id="{A129C0C1-A1FB-41E2-9025-24D38E517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03" name="Picture 902" descr="http://www.abs.gov.au/icons/ecblank.gif">
          <a:extLst>
            <a:ext uri="{FF2B5EF4-FFF2-40B4-BE49-F238E27FC236}">
              <a16:creationId xmlns:a16="http://schemas.microsoft.com/office/drawing/2014/main" id="{FB209922-20C3-444E-B59D-14A8B9CB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04" name="Picture 903" descr="http://www.abs.gov.au/icons/ecblank.gif">
          <a:extLst>
            <a:ext uri="{FF2B5EF4-FFF2-40B4-BE49-F238E27FC236}">
              <a16:creationId xmlns:a16="http://schemas.microsoft.com/office/drawing/2014/main" id="{74804B38-FA0F-4FF2-A0B2-B9BD9461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05" name="Picture 904" descr="http://www.abs.gov.au/icons/ecblank.gif">
          <a:extLst>
            <a:ext uri="{FF2B5EF4-FFF2-40B4-BE49-F238E27FC236}">
              <a16:creationId xmlns:a16="http://schemas.microsoft.com/office/drawing/2014/main" id="{E633653A-2091-4435-8F84-8148CF1C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06" name="Picture 905" descr="http://www.abs.gov.au/icons/ecblank.gif">
          <a:extLst>
            <a:ext uri="{FF2B5EF4-FFF2-40B4-BE49-F238E27FC236}">
              <a16:creationId xmlns:a16="http://schemas.microsoft.com/office/drawing/2014/main" id="{D035F9D4-5EEF-4696-9B17-88525C8A4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07" name="Picture 906" descr="http://www.abs.gov.au/icons/ecblank.gif">
          <a:extLst>
            <a:ext uri="{FF2B5EF4-FFF2-40B4-BE49-F238E27FC236}">
              <a16:creationId xmlns:a16="http://schemas.microsoft.com/office/drawing/2014/main" id="{5970368E-DB2A-4FC6-AEFA-75DFC7BE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08" name="Picture 907" descr="http://www.abs.gov.au/icons/ecblank.gif">
          <a:extLst>
            <a:ext uri="{FF2B5EF4-FFF2-40B4-BE49-F238E27FC236}">
              <a16:creationId xmlns:a16="http://schemas.microsoft.com/office/drawing/2014/main" id="{4CE0D38D-AE48-4104-BBF8-8237F055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09" name="Picture 908" descr="http://www.abs.gov.au/icons/ecblank.gif">
          <a:extLst>
            <a:ext uri="{FF2B5EF4-FFF2-40B4-BE49-F238E27FC236}">
              <a16:creationId xmlns:a16="http://schemas.microsoft.com/office/drawing/2014/main" id="{74752790-4CDB-4A71-94A5-A76CBCB1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10" name="Picture 108" descr="http://www.abs.gov.au/icons/ecblank.gif">
          <a:extLst>
            <a:ext uri="{FF2B5EF4-FFF2-40B4-BE49-F238E27FC236}">
              <a16:creationId xmlns:a16="http://schemas.microsoft.com/office/drawing/2014/main" id="{F59C7688-9FFF-48EE-91EE-D6447F2FC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11" name="Picture 109" descr="http://www.abs.gov.au/icons/ecblank.gif">
          <a:extLst>
            <a:ext uri="{FF2B5EF4-FFF2-40B4-BE49-F238E27FC236}">
              <a16:creationId xmlns:a16="http://schemas.microsoft.com/office/drawing/2014/main" id="{8E6FBCA7-E621-4973-9A74-E2DED388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12" name="Picture 110" descr="http://www.abs.gov.au/icons/ecblank.gif">
          <a:extLst>
            <a:ext uri="{FF2B5EF4-FFF2-40B4-BE49-F238E27FC236}">
              <a16:creationId xmlns:a16="http://schemas.microsoft.com/office/drawing/2014/main" id="{3758AD56-1B2B-4C25-854B-5913B941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13" name="Picture 111" descr="http://www.abs.gov.au/icons/ecblank.gif">
          <a:extLst>
            <a:ext uri="{FF2B5EF4-FFF2-40B4-BE49-F238E27FC236}">
              <a16:creationId xmlns:a16="http://schemas.microsoft.com/office/drawing/2014/main" id="{99CBCECF-D455-41CD-A861-A80EFB669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914" name="Picture 913" descr="http://www.abs.gov.au/icons/ecblank.gif">
          <a:extLst>
            <a:ext uri="{FF2B5EF4-FFF2-40B4-BE49-F238E27FC236}">
              <a16:creationId xmlns:a16="http://schemas.microsoft.com/office/drawing/2014/main" id="{90CE1946-2F4A-42CF-B543-E552D056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915" name="Picture 914" descr="http://www.abs.gov.au/icons/ecblank.gif">
          <a:extLst>
            <a:ext uri="{FF2B5EF4-FFF2-40B4-BE49-F238E27FC236}">
              <a16:creationId xmlns:a16="http://schemas.microsoft.com/office/drawing/2014/main" id="{7C578CDB-4DEA-4DE4-AB83-5431A341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916" name="Picture 915" descr="http://www.abs.gov.au/icons/ecblank.gif">
          <a:extLst>
            <a:ext uri="{FF2B5EF4-FFF2-40B4-BE49-F238E27FC236}">
              <a16:creationId xmlns:a16="http://schemas.microsoft.com/office/drawing/2014/main" id="{6DE982A2-52DC-461F-AEA1-1CA28C79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917" name="Picture 916" descr="http://www.abs.gov.au/icons/ecblank.gif">
          <a:extLst>
            <a:ext uri="{FF2B5EF4-FFF2-40B4-BE49-F238E27FC236}">
              <a16:creationId xmlns:a16="http://schemas.microsoft.com/office/drawing/2014/main" id="{7EBBE77B-1477-42F9-956C-029178ED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918" name="Picture 917" descr="http://www.abs.gov.au/icons/ecblank.gif">
          <a:extLst>
            <a:ext uri="{FF2B5EF4-FFF2-40B4-BE49-F238E27FC236}">
              <a16:creationId xmlns:a16="http://schemas.microsoft.com/office/drawing/2014/main" id="{753769FF-5F82-4443-8ED2-951D729E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919" name="Picture 918" descr="http://www.abs.gov.au/icons/ecblank.gif">
          <a:extLst>
            <a:ext uri="{FF2B5EF4-FFF2-40B4-BE49-F238E27FC236}">
              <a16:creationId xmlns:a16="http://schemas.microsoft.com/office/drawing/2014/main" id="{B72132E6-6FD7-4295-816F-C1923968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920" name="Picture 919" descr="http://www.abs.gov.au/icons/ecblank.gif">
          <a:extLst>
            <a:ext uri="{FF2B5EF4-FFF2-40B4-BE49-F238E27FC236}">
              <a16:creationId xmlns:a16="http://schemas.microsoft.com/office/drawing/2014/main" id="{94AD1F51-C00B-48C0-BE33-27BEDAFD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921" name="Picture 920" descr="http://www.abs.gov.au/icons/ecblank.gif">
          <a:extLst>
            <a:ext uri="{FF2B5EF4-FFF2-40B4-BE49-F238E27FC236}">
              <a16:creationId xmlns:a16="http://schemas.microsoft.com/office/drawing/2014/main" id="{EB15F22A-4283-4347-B233-FF3851E5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922" name="Picture 921" descr="http://www.abs.gov.au/icons/ecblank.gif">
          <a:extLst>
            <a:ext uri="{FF2B5EF4-FFF2-40B4-BE49-F238E27FC236}">
              <a16:creationId xmlns:a16="http://schemas.microsoft.com/office/drawing/2014/main" id="{2E71ABAF-95A3-4127-A07B-F7F77292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923" name="Picture 922" descr="http://www.abs.gov.au/icons/ecblank.gif">
          <a:extLst>
            <a:ext uri="{FF2B5EF4-FFF2-40B4-BE49-F238E27FC236}">
              <a16:creationId xmlns:a16="http://schemas.microsoft.com/office/drawing/2014/main" id="{52C83A3A-A31F-4458-B34F-02382A16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79</xdr:row>
      <xdr:rowOff>0</xdr:rowOff>
    </xdr:from>
    <xdr:to>
      <xdr:col>5</xdr:col>
      <xdr:colOff>9525</xdr:colOff>
      <xdr:row>79</xdr:row>
      <xdr:rowOff>9525</xdr:rowOff>
    </xdr:to>
    <xdr:pic>
      <xdr:nvPicPr>
        <xdr:cNvPr id="924" name="Picture 923" descr="http://www.abs.gov.au/icons/ecblank.gif">
          <a:extLst>
            <a:ext uri="{FF2B5EF4-FFF2-40B4-BE49-F238E27FC236}">
              <a16:creationId xmlns:a16="http://schemas.microsoft.com/office/drawing/2014/main" id="{24FFB3E1-7EE2-472F-842B-BB345143C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48150" y="15792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79</xdr:row>
      <xdr:rowOff>0</xdr:rowOff>
    </xdr:from>
    <xdr:to>
      <xdr:col>5</xdr:col>
      <xdr:colOff>9525</xdr:colOff>
      <xdr:row>79</xdr:row>
      <xdr:rowOff>9525</xdr:rowOff>
    </xdr:to>
    <xdr:pic>
      <xdr:nvPicPr>
        <xdr:cNvPr id="925" name="Picture 924" descr="http://www.abs.gov.au/icons/ecblank.gif">
          <a:extLst>
            <a:ext uri="{FF2B5EF4-FFF2-40B4-BE49-F238E27FC236}">
              <a16:creationId xmlns:a16="http://schemas.microsoft.com/office/drawing/2014/main" id="{7BA16BCB-68E3-472C-A250-65FF58CE7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48150" y="15792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95</xdr:row>
      <xdr:rowOff>0</xdr:rowOff>
    </xdr:from>
    <xdr:to>
      <xdr:col>5</xdr:col>
      <xdr:colOff>9525</xdr:colOff>
      <xdr:row>95</xdr:row>
      <xdr:rowOff>9525</xdr:rowOff>
    </xdr:to>
    <xdr:pic>
      <xdr:nvPicPr>
        <xdr:cNvPr id="926" name="Picture 925" descr="http://www.abs.gov.au/icons/ecblank.gif">
          <a:extLst>
            <a:ext uri="{FF2B5EF4-FFF2-40B4-BE49-F238E27FC236}">
              <a16:creationId xmlns:a16="http://schemas.microsoft.com/office/drawing/2014/main" id="{CE0EE55E-6BCE-42E1-8BAB-29ED6631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48150" y="18840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95</xdr:row>
      <xdr:rowOff>0</xdr:rowOff>
    </xdr:from>
    <xdr:to>
      <xdr:col>5</xdr:col>
      <xdr:colOff>9525</xdr:colOff>
      <xdr:row>95</xdr:row>
      <xdr:rowOff>9525</xdr:rowOff>
    </xdr:to>
    <xdr:pic>
      <xdr:nvPicPr>
        <xdr:cNvPr id="927" name="Picture 926" descr="http://www.abs.gov.au/icons/ecblank.gif">
          <a:extLst>
            <a:ext uri="{FF2B5EF4-FFF2-40B4-BE49-F238E27FC236}">
              <a16:creationId xmlns:a16="http://schemas.microsoft.com/office/drawing/2014/main" id="{F9A4B97A-25DB-41CE-8602-6DE211F3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48150" y="18840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28" name="Picture 927" descr="http://www.abs.gov.au/icons/ecblank.gif">
          <a:extLst>
            <a:ext uri="{FF2B5EF4-FFF2-40B4-BE49-F238E27FC236}">
              <a16:creationId xmlns:a16="http://schemas.microsoft.com/office/drawing/2014/main" id="{3ED67C2D-4080-4132-AF92-1AE98D6A3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29" name="Picture 928" descr="http://www.abs.gov.au/icons/ecblank.gif">
          <a:extLst>
            <a:ext uri="{FF2B5EF4-FFF2-40B4-BE49-F238E27FC236}">
              <a16:creationId xmlns:a16="http://schemas.microsoft.com/office/drawing/2014/main" id="{88209572-C6AC-4B60-AAF0-CA6E1DD5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30" name="Picture 929" descr="http://www.abs.gov.au/icons/ecblank.gif">
          <a:extLst>
            <a:ext uri="{FF2B5EF4-FFF2-40B4-BE49-F238E27FC236}">
              <a16:creationId xmlns:a16="http://schemas.microsoft.com/office/drawing/2014/main" id="{EC299030-A4CB-4CF5-8581-D2B7E8F7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31" name="Picture 930" descr="http://www.abs.gov.au/icons/ecblank.gif">
          <a:extLst>
            <a:ext uri="{FF2B5EF4-FFF2-40B4-BE49-F238E27FC236}">
              <a16:creationId xmlns:a16="http://schemas.microsoft.com/office/drawing/2014/main" id="{D176649D-1C3E-4C0F-9663-26653B80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32" name="Picture 931" descr="http://www.abs.gov.au/icons/ecblank.gif">
          <a:extLst>
            <a:ext uri="{FF2B5EF4-FFF2-40B4-BE49-F238E27FC236}">
              <a16:creationId xmlns:a16="http://schemas.microsoft.com/office/drawing/2014/main" id="{527BC277-E2A5-453D-AC7E-B0C18E65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33" name="Picture 932" descr="http://www.abs.gov.au/icons/ecblank.gif">
          <a:extLst>
            <a:ext uri="{FF2B5EF4-FFF2-40B4-BE49-F238E27FC236}">
              <a16:creationId xmlns:a16="http://schemas.microsoft.com/office/drawing/2014/main" id="{E90C376B-7BEE-46F5-B9C9-5F21D4DEB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34" name="Picture 933" descr="http://www.abs.gov.au/icons/ecblank.gif">
          <a:extLst>
            <a:ext uri="{FF2B5EF4-FFF2-40B4-BE49-F238E27FC236}">
              <a16:creationId xmlns:a16="http://schemas.microsoft.com/office/drawing/2014/main" id="{0900CAFB-2DDD-4083-A945-611FF1B8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35" name="Picture 934" descr="http://www.abs.gov.au/icons/ecblank.gif">
          <a:extLst>
            <a:ext uri="{FF2B5EF4-FFF2-40B4-BE49-F238E27FC236}">
              <a16:creationId xmlns:a16="http://schemas.microsoft.com/office/drawing/2014/main" id="{DCFAC923-064C-4CEE-A549-86C63DE2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36" name="Picture 935" descr="http://www.abs.gov.au/icons/ecblank.gif">
          <a:extLst>
            <a:ext uri="{FF2B5EF4-FFF2-40B4-BE49-F238E27FC236}">
              <a16:creationId xmlns:a16="http://schemas.microsoft.com/office/drawing/2014/main" id="{3D624DE9-038C-4298-AB8F-AE758A9F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37" name="Picture 936" descr="http://www.abs.gov.au/icons/ecblank.gif">
          <a:extLst>
            <a:ext uri="{FF2B5EF4-FFF2-40B4-BE49-F238E27FC236}">
              <a16:creationId xmlns:a16="http://schemas.microsoft.com/office/drawing/2014/main" id="{CD3C7882-CB76-420A-8A6E-B0E9CC96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38" name="Picture 937" descr="http://www.abs.gov.au/icons/ecblank.gif">
          <a:extLst>
            <a:ext uri="{FF2B5EF4-FFF2-40B4-BE49-F238E27FC236}">
              <a16:creationId xmlns:a16="http://schemas.microsoft.com/office/drawing/2014/main" id="{16291707-E503-4BB1-8DA4-C24D122F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39" name="Picture 938" descr="http://www.abs.gov.au/icons/ecblank.gif">
          <a:extLst>
            <a:ext uri="{FF2B5EF4-FFF2-40B4-BE49-F238E27FC236}">
              <a16:creationId xmlns:a16="http://schemas.microsoft.com/office/drawing/2014/main" id="{6506E17C-29BB-417B-94B9-D59E12AD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40" name="Picture 939" descr="http://www.abs.gov.au/icons/ecblank.gif">
          <a:extLst>
            <a:ext uri="{FF2B5EF4-FFF2-40B4-BE49-F238E27FC236}">
              <a16:creationId xmlns:a16="http://schemas.microsoft.com/office/drawing/2014/main" id="{51B4FF0F-FDEC-4028-A373-747828DF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941" name="Picture 940" descr="http://www.abs.gov.au/icons/ecblank.gif">
          <a:extLst>
            <a:ext uri="{FF2B5EF4-FFF2-40B4-BE49-F238E27FC236}">
              <a16:creationId xmlns:a16="http://schemas.microsoft.com/office/drawing/2014/main" id="{CC0CC594-BC06-4022-BFA4-0E4800C9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42" name="Picture 941" descr="http://www.abs.gov.au/icons/ecblank.gif">
          <a:extLst>
            <a:ext uri="{FF2B5EF4-FFF2-40B4-BE49-F238E27FC236}">
              <a16:creationId xmlns:a16="http://schemas.microsoft.com/office/drawing/2014/main" id="{7EAFDA83-874A-4405-A836-8AFD7F366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943" name="Picture 942" descr="http://www.abs.gov.au/icons/ecblank.gif">
          <a:extLst>
            <a:ext uri="{FF2B5EF4-FFF2-40B4-BE49-F238E27FC236}">
              <a16:creationId xmlns:a16="http://schemas.microsoft.com/office/drawing/2014/main" id="{1484C385-7D78-408B-8398-85725792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44" name="Picture 943" descr="http://www.abs.gov.au/icons/ecblank.gif">
          <a:extLst>
            <a:ext uri="{FF2B5EF4-FFF2-40B4-BE49-F238E27FC236}">
              <a16:creationId xmlns:a16="http://schemas.microsoft.com/office/drawing/2014/main" id="{0F37D0AF-63A0-489D-B6F7-D6B37A857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45" name="Picture 944" descr="http://www.abs.gov.au/icons/ecblank.gif">
          <a:extLst>
            <a:ext uri="{FF2B5EF4-FFF2-40B4-BE49-F238E27FC236}">
              <a16:creationId xmlns:a16="http://schemas.microsoft.com/office/drawing/2014/main" id="{5703769F-D5B6-4480-9E9B-C38F4B05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46" name="Picture 945" descr="http://www.abs.gov.au/icons/ecblank.gif">
          <a:extLst>
            <a:ext uri="{FF2B5EF4-FFF2-40B4-BE49-F238E27FC236}">
              <a16:creationId xmlns:a16="http://schemas.microsoft.com/office/drawing/2014/main" id="{DC9EB2EF-B138-4C51-AC12-99D3451C7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47" name="Picture 946" descr="http://www.abs.gov.au/icons/ecblank.gif">
          <a:extLst>
            <a:ext uri="{FF2B5EF4-FFF2-40B4-BE49-F238E27FC236}">
              <a16:creationId xmlns:a16="http://schemas.microsoft.com/office/drawing/2014/main" id="{2E016BDC-E51E-406F-968A-6DF37D7B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48" name="Picture 947" descr="http://www.abs.gov.au/icons/ecblank.gif">
          <a:extLst>
            <a:ext uri="{FF2B5EF4-FFF2-40B4-BE49-F238E27FC236}">
              <a16:creationId xmlns:a16="http://schemas.microsoft.com/office/drawing/2014/main" id="{0902FCD0-FAF7-4EE8-8F63-38FF349D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49" name="Picture 948" descr="http://www.abs.gov.au/icons/ecblank.gif">
          <a:extLst>
            <a:ext uri="{FF2B5EF4-FFF2-40B4-BE49-F238E27FC236}">
              <a16:creationId xmlns:a16="http://schemas.microsoft.com/office/drawing/2014/main" id="{0B23CFDE-C1F5-40B4-AA2D-6CAF348E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50" name="Picture 949" descr="http://www.abs.gov.au/icons/ecblank.gif">
          <a:extLst>
            <a:ext uri="{FF2B5EF4-FFF2-40B4-BE49-F238E27FC236}">
              <a16:creationId xmlns:a16="http://schemas.microsoft.com/office/drawing/2014/main" id="{B2854142-A8FF-4164-8F3D-C2D139F48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51" name="Picture 950" descr="http://www.abs.gov.au/icons/ecblank.gif">
          <a:extLst>
            <a:ext uri="{FF2B5EF4-FFF2-40B4-BE49-F238E27FC236}">
              <a16:creationId xmlns:a16="http://schemas.microsoft.com/office/drawing/2014/main" id="{5C0062FB-0E43-4144-828E-B1C90F17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52" name="Picture 108" descr="http://www.abs.gov.au/icons/ecblank.gif">
          <a:extLst>
            <a:ext uri="{FF2B5EF4-FFF2-40B4-BE49-F238E27FC236}">
              <a16:creationId xmlns:a16="http://schemas.microsoft.com/office/drawing/2014/main" id="{C296161D-CDEE-4B63-87D7-056E4BA6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53" name="Picture 109" descr="http://www.abs.gov.au/icons/ecblank.gif">
          <a:extLst>
            <a:ext uri="{FF2B5EF4-FFF2-40B4-BE49-F238E27FC236}">
              <a16:creationId xmlns:a16="http://schemas.microsoft.com/office/drawing/2014/main" id="{B9E3B4CB-2A77-4BEA-8786-EAF4BF02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54" name="Picture 110" descr="http://www.abs.gov.au/icons/ecblank.gif">
          <a:extLst>
            <a:ext uri="{FF2B5EF4-FFF2-40B4-BE49-F238E27FC236}">
              <a16:creationId xmlns:a16="http://schemas.microsoft.com/office/drawing/2014/main" id="{32D2ACAD-1F29-47BF-ADA5-0ADE6CB7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55" name="Picture 111" descr="http://www.abs.gov.au/icons/ecblank.gif">
          <a:extLst>
            <a:ext uri="{FF2B5EF4-FFF2-40B4-BE49-F238E27FC236}">
              <a16:creationId xmlns:a16="http://schemas.microsoft.com/office/drawing/2014/main" id="{2BF197D0-6599-4DC7-B300-69031804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56" name="Picture 955" descr="http://www.abs.gov.au/icons/ecblank.gif">
          <a:extLst>
            <a:ext uri="{FF2B5EF4-FFF2-40B4-BE49-F238E27FC236}">
              <a16:creationId xmlns:a16="http://schemas.microsoft.com/office/drawing/2014/main" id="{A1F2D555-E959-477F-9C89-49B770DC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57" name="Picture 956" descr="http://www.abs.gov.au/icons/ecblank.gif">
          <a:extLst>
            <a:ext uri="{FF2B5EF4-FFF2-40B4-BE49-F238E27FC236}">
              <a16:creationId xmlns:a16="http://schemas.microsoft.com/office/drawing/2014/main" id="{CD4CB776-60A8-4AE8-B554-31107C27B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58" name="Picture 957" descr="http://www.abs.gov.au/icons/ecblank.gif">
          <a:extLst>
            <a:ext uri="{FF2B5EF4-FFF2-40B4-BE49-F238E27FC236}">
              <a16:creationId xmlns:a16="http://schemas.microsoft.com/office/drawing/2014/main" id="{75C7D8FF-4425-4F6A-820D-F13444AA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59" name="Picture 958" descr="http://www.abs.gov.au/icons/ecblank.gif">
          <a:extLst>
            <a:ext uri="{FF2B5EF4-FFF2-40B4-BE49-F238E27FC236}">
              <a16:creationId xmlns:a16="http://schemas.microsoft.com/office/drawing/2014/main" id="{0437E404-E19A-4F0A-9E1D-7345CBE1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60" name="Picture 959" descr="http://www.abs.gov.au/icons/ecblank.gif">
          <a:extLst>
            <a:ext uri="{FF2B5EF4-FFF2-40B4-BE49-F238E27FC236}">
              <a16:creationId xmlns:a16="http://schemas.microsoft.com/office/drawing/2014/main" id="{9A866F53-A5AA-42E5-8665-1B77C6BF2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61" name="Picture 960" descr="http://www.abs.gov.au/icons/ecblank.gif">
          <a:extLst>
            <a:ext uri="{FF2B5EF4-FFF2-40B4-BE49-F238E27FC236}">
              <a16:creationId xmlns:a16="http://schemas.microsoft.com/office/drawing/2014/main" id="{62CFCFD9-F541-4133-B839-4B6673AD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62" name="Picture 961" descr="http://www.abs.gov.au/icons/ecblank.gif">
          <a:extLst>
            <a:ext uri="{FF2B5EF4-FFF2-40B4-BE49-F238E27FC236}">
              <a16:creationId xmlns:a16="http://schemas.microsoft.com/office/drawing/2014/main" id="{85FF13DC-7ACD-464E-90A8-C0D860A4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63" name="Picture 962" descr="http://www.abs.gov.au/icons/ecblank.gif">
          <a:extLst>
            <a:ext uri="{FF2B5EF4-FFF2-40B4-BE49-F238E27FC236}">
              <a16:creationId xmlns:a16="http://schemas.microsoft.com/office/drawing/2014/main" id="{63696C43-60A1-41E0-8BE0-ED22C28C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64" name="Picture 108" descr="http://www.abs.gov.au/icons/ecblank.gif">
          <a:extLst>
            <a:ext uri="{FF2B5EF4-FFF2-40B4-BE49-F238E27FC236}">
              <a16:creationId xmlns:a16="http://schemas.microsoft.com/office/drawing/2014/main" id="{1FFC70B8-D942-4C5D-9A98-B19EAF0AE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65" name="Picture 109" descr="http://www.abs.gov.au/icons/ecblank.gif">
          <a:extLst>
            <a:ext uri="{FF2B5EF4-FFF2-40B4-BE49-F238E27FC236}">
              <a16:creationId xmlns:a16="http://schemas.microsoft.com/office/drawing/2014/main" id="{1FB72F22-7615-43E6-BB9A-44E4D777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66" name="Picture 110" descr="http://www.abs.gov.au/icons/ecblank.gif">
          <a:extLst>
            <a:ext uri="{FF2B5EF4-FFF2-40B4-BE49-F238E27FC236}">
              <a16:creationId xmlns:a16="http://schemas.microsoft.com/office/drawing/2014/main" id="{C00DAA59-498A-4322-9110-154FF9E82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67" name="Picture 111" descr="http://www.abs.gov.au/icons/ecblank.gif">
          <a:extLst>
            <a:ext uri="{FF2B5EF4-FFF2-40B4-BE49-F238E27FC236}">
              <a16:creationId xmlns:a16="http://schemas.microsoft.com/office/drawing/2014/main" id="{C989C14B-0F08-4A8B-9D77-7A19A3DA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68" name="Picture 967" descr="http://www.abs.gov.au/icons/ecblank.gif">
          <a:extLst>
            <a:ext uri="{FF2B5EF4-FFF2-40B4-BE49-F238E27FC236}">
              <a16:creationId xmlns:a16="http://schemas.microsoft.com/office/drawing/2014/main" id="{1272535D-5C03-4A1A-9A51-3AD85D1B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69" name="Picture 968" descr="http://www.abs.gov.au/icons/ecblank.gif">
          <a:extLst>
            <a:ext uri="{FF2B5EF4-FFF2-40B4-BE49-F238E27FC236}">
              <a16:creationId xmlns:a16="http://schemas.microsoft.com/office/drawing/2014/main" id="{C42AAF25-F40E-411A-923A-C9C6202D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70" name="Picture 969" descr="http://www.abs.gov.au/icons/ecblank.gif">
          <a:extLst>
            <a:ext uri="{FF2B5EF4-FFF2-40B4-BE49-F238E27FC236}">
              <a16:creationId xmlns:a16="http://schemas.microsoft.com/office/drawing/2014/main" id="{9EBC5ED3-7A95-4935-B254-A81DDF4D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71" name="Picture 970" descr="http://www.abs.gov.au/icons/ecblank.gif">
          <a:extLst>
            <a:ext uri="{FF2B5EF4-FFF2-40B4-BE49-F238E27FC236}">
              <a16:creationId xmlns:a16="http://schemas.microsoft.com/office/drawing/2014/main" id="{B73A8DFC-F747-4D74-9F02-C7FE30D91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72" name="Picture 971" descr="http://www.abs.gov.au/icons/ecblank.gif">
          <a:extLst>
            <a:ext uri="{FF2B5EF4-FFF2-40B4-BE49-F238E27FC236}">
              <a16:creationId xmlns:a16="http://schemas.microsoft.com/office/drawing/2014/main" id="{58108F91-3319-43E0-AB48-5674D55A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73" name="Picture 972" descr="http://www.abs.gov.au/icons/ecblank.gif">
          <a:extLst>
            <a:ext uri="{FF2B5EF4-FFF2-40B4-BE49-F238E27FC236}">
              <a16:creationId xmlns:a16="http://schemas.microsoft.com/office/drawing/2014/main" id="{F8A1AFB4-B52D-4769-A6A9-F33238353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74" name="Picture 973" descr="http://www.abs.gov.au/icons/ecblank.gif">
          <a:extLst>
            <a:ext uri="{FF2B5EF4-FFF2-40B4-BE49-F238E27FC236}">
              <a16:creationId xmlns:a16="http://schemas.microsoft.com/office/drawing/2014/main" id="{3AE302C1-1E1B-41CC-895A-029A2589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75" name="Picture 974" descr="http://www.abs.gov.au/icons/ecblank.gif">
          <a:extLst>
            <a:ext uri="{FF2B5EF4-FFF2-40B4-BE49-F238E27FC236}">
              <a16:creationId xmlns:a16="http://schemas.microsoft.com/office/drawing/2014/main" id="{CFCEDE49-D1CA-44A9-AAE2-B623BCB1C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76" name="Picture 108" descr="http://www.abs.gov.au/icons/ecblank.gif">
          <a:extLst>
            <a:ext uri="{FF2B5EF4-FFF2-40B4-BE49-F238E27FC236}">
              <a16:creationId xmlns:a16="http://schemas.microsoft.com/office/drawing/2014/main" id="{81B90302-1CDC-4A79-95B9-4A937544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81</xdr:row>
      <xdr:rowOff>9525</xdr:rowOff>
    </xdr:to>
    <xdr:pic>
      <xdr:nvPicPr>
        <xdr:cNvPr id="977" name="Picture 109" descr="http://www.abs.gov.au/icons/ecblank.gif">
          <a:extLst>
            <a:ext uri="{FF2B5EF4-FFF2-40B4-BE49-F238E27FC236}">
              <a16:creationId xmlns:a16="http://schemas.microsoft.com/office/drawing/2014/main" id="{8A54D56C-076A-4A42-BAA2-0A58932B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6173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78" name="Picture 110" descr="http://www.abs.gov.au/icons/ecblank.gif">
          <a:extLst>
            <a:ext uri="{FF2B5EF4-FFF2-40B4-BE49-F238E27FC236}">
              <a16:creationId xmlns:a16="http://schemas.microsoft.com/office/drawing/2014/main" id="{B2D0BDD3-FFD8-4300-BF07-2BCEFBC2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97</xdr:row>
      <xdr:rowOff>9525</xdr:rowOff>
    </xdr:to>
    <xdr:pic>
      <xdr:nvPicPr>
        <xdr:cNvPr id="979" name="Picture 111" descr="http://www.abs.gov.au/icons/ecblank.gif">
          <a:extLst>
            <a:ext uri="{FF2B5EF4-FFF2-40B4-BE49-F238E27FC236}">
              <a16:creationId xmlns:a16="http://schemas.microsoft.com/office/drawing/2014/main" id="{EDD3E6C6-86F7-45DC-AAD5-FB31F622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22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80" name="Picture 979" descr="http://www.abs.gov.au/icons/ecblank.gif">
          <a:extLst>
            <a:ext uri="{FF2B5EF4-FFF2-40B4-BE49-F238E27FC236}">
              <a16:creationId xmlns:a16="http://schemas.microsoft.com/office/drawing/2014/main" id="{0DEE5AD0-6D18-4BF9-850C-8E7AD4E7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81" name="Picture 980" descr="http://www.abs.gov.au/icons/ecblank.gif">
          <a:extLst>
            <a:ext uri="{FF2B5EF4-FFF2-40B4-BE49-F238E27FC236}">
              <a16:creationId xmlns:a16="http://schemas.microsoft.com/office/drawing/2014/main" id="{A1D6BE1A-43B3-4CF9-960A-0D1BD0185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82" name="Picture 981" descr="http://www.abs.gov.au/icons/ecblank.gif">
          <a:extLst>
            <a:ext uri="{FF2B5EF4-FFF2-40B4-BE49-F238E27FC236}">
              <a16:creationId xmlns:a16="http://schemas.microsoft.com/office/drawing/2014/main" id="{BB7807DA-52A4-42C1-A397-B29E52D4E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83" name="Picture 982" descr="http://www.abs.gov.au/icons/ecblank.gif">
          <a:extLst>
            <a:ext uri="{FF2B5EF4-FFF2-40B4-BE49-F238E27FC236}">
              <a16:creationId xmlns:a16="http://schemas.microsoft.com/office/drawing/2014/main" id="{872AA665-2086-4045-AAB0-FBD45879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84" name="Picture 983" descr="http://www.abs.gov.au/icons/ecblank.gif">
          <a:extLst>
            <a:ext uri="{FF2B5EF4-FFF2-40B4-BE49-F238E27FC236}">
              <a16:creationId xmlns:a16="http://schemas.microsoft.com/office/drawing/2014/main" id="{245574A7-4781-430F-8589-D543916C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85" name="Picture 984" descr="http://www.abs.gov.au/icons/ecblank.gif">
          <a:extLst>
            <a:ext uri="{FF2B5EF4-FFF2-40B4-BE49-F238E27FC236}">
              <a16:creationId xmlns:a16="http://schemas.microsoft.com/office/drawing/2014/main" id="{F3F2D461-FD10-4F3F-ABE1-703A544A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86" name="Picture 985" descr="http://www.abs.gov.au/icons/ecblank.gif">
          <a:extLst>
            <a:ext uri="{FF2B5EF4-FFF2-40B4-BE49-F238E27FC236}">
              <a16:creationId xmlns:a16="http://schemas.microsoft.com/office/drawing/2014/main" id="{D7E891FF-3121-4552-8EDF-0957A9F0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87" name="Picture 986" descr="http://www.abs.gov.au/icons/ecblank.gif">
          <a:extLst>
            <a:ext uri="{FF2B5EF4-FFF2-40B4-BE49-F238E27FC236}">
              <a16:creationId xmlns:a16="http://schemas.microsoft.com/office/drawing/2014/main" id="{E0821EBA-E1EC-4476-A3DC-89C52493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88" name="Picture 108" descr="http://www.abs.gov.au/icons/ecblank.gif">
          <a:extLst>
            <a:ext uri="{FF2B5EF4-FFF2-40B4-BE49-F238E27FC236}">
              <a16:creationId xmlns:a16="http://schemas.microsoft.com/office/drawing/2014/main" id="{71400837-FA56-4598-83E6-F901CFC8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89" name="Picture 109" descr="http://www.abs.gov.au/icons/ecblank.gif">
          <a:extLst>
            <a:ext uri="{FF2B5EF4-FFF2-40B4-BE49-F238E27FC236}">
              <a16:creationId xmlns:a16="http://schemas.microsoft.com/office/drawing/2014/main" id="{F6995047-A3C4-4708-B976-29C7A37D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90" name="Picture 110" descr="http://www.abs.gov.au/icons/ecblank.gif">
          <a:extLst>
            <a:ext uri="{FF2B5EF4-FFF2-40B4-BE49-F238E27FC236}">
              <a16:creationId xmlns:a16="http://schemas.microsoft.com/office/drawing/2014/main" id="{42F80088-D160-43B3-88BA-B8A1FE18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91" name="Picture 111" descr="http://www.abs.gov.au/icons/ecblank.gif">
          <a:extLst>
            <a:ext uri="{FF2B5EF4-FFF2-40B4-BE49-F238E27FC236}">
              <a16:creationId xmlns:a16="http://schemas.microsoft.com/office/drawing/2014/main" id="{78B1EE2B-5BF9-492D-8EC6-DD0F0A89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77</xdr:row>
      <xdr:rowOff>171450</xdr:rowOff>
    </xdr:from>
    <xdr:to>
      <xdr:col>6</xdr:col>
      <xdr:colOff>9525</xdr:colOff>
      <xdr:row>77</xdr:row>
      <xdr:rowOff>180975</xdr:rowOff>
    </xdr:to>
    <xdr:pic>
      <xdr:nvPicPr>
        <xdr:cNvPr id="992" name="Picture 991" descr="http://www.abs.gov.au/icons/ecblank.gif">
          <a:extLst>
            <a:ext uri="{FF2B5EF4-FFF2-40B4-BE49-F238E27FC236}">
              <a16:creationId xmlns:a16="http://schemas.microsoft.com/office/drawing/2014/main" id="{6C0993BB-4A4A-4717-8C65-83B2BD85E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77</xdr:row>
      <xdr:rowOff>171450</xdr:rowOff>
    </xdr:from>
    <xdr:to>
      <xdr:col>6</xdr:col>
      <xdr:colOff>9525</xdr:colOff>
      <xdr:row>77</xdr:row>
      <xdr:rowOff>180975</xdr:rowOff>
    </xdr:to>
    <xdr:pic>
      <xdr:nvPicPr>
        <xdr:cNvPr id="993" name="Picture 992" descr="http://www.abs.gov.au/icons/ecblank.gif">
          <a:extLst>
            <a:ext uri="{FF2B5EF4-FFF2-40B4-BE49-F238E27FC236}">
              <a16:creationId xmlns:a16="http://schemas.microsoft.com/office/drawing/2014/main" id="{3113AAE0-0A02-45CF-B324-1DF49412A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77</xdr:row>
      <xdr:rowOff>171450</xdr:rowOff>
    </xdr:from>
    <xdr:to>
      <xdr:col>6</xdr:col>
      <xdr:colOff>9525</xdr:colOff>
      <xdr:row>77</xdr:row>
      <xdr:rowOff>180975</xdr:rowOff>
    </xdr:to>
    <xdr:pic>
      <xdr:nvPicPr>
        <xdr:cNvPr id="994" name="Picture 993" descr="http://www.abs.gov.au/icons/ecblank.gif">
          <a:extLst>
            <a:ext uri="{FF2B5EF4-FFF2-40B4-BE49-F238E27FC236}">
              <a16:creationId xmlns:a16="http://schemas.microsoft.com/office/drawing/2014/main" id="{0F33397B-353A-41B1-B8E3-2ABD5B16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77</xdr:row>
      <xdr:rowOff>171450</xdr:rowOff>
    </xdr:from>
    <xdr:to>
      <xdr:col>6</xdr:col>
      <xdr:colOff>9525</xdr:colOff>
      <xdr:row>77</xdr:row>
      <xdr:rowOff>180975</xdr:rowOff>
    </xdr:to>
    <xdr:pic>
      <xdr:nvPicPr>
        <xdr:cNvPr id="995" name="Picture 994" descr="http://www.abs.gov.au/icons/ecblank.gif">
          <a:extLst>
            <a:ext uri="{FF2B5EF4-FFF2-40B4-BE49-F238E27FC236}">
              <a16:creationId xmlns:a16="http://schemas.microsoft.com/office/drawing/2014/main" id="{02F7D399-33F3-4DB5-B703-C1125A733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77</xdr:row>
      <xdr:rowOff>171450</xdr:rowOff>
    </xdr:from>
    <xdr:to>
      <xdr:col>6</xdr:col>
      <xdr:colOff>9525</xdr:colOff>
      <xdr:row>77</xdr:row>
      <xdr:rowOff>180975</xdr:rowOff>
    </xdr:to>
    <xdr:pic>
      <xdr:nvPicPr>
        <xdr:cNvPr id="996" name="Picture 995" descr="http://www.abs.gov.au/icons/ecblank.gif">
          <a:extLst>
            <a:ext uri="{FF2B5EF4-FFF2-40B4-BE49-F238E27FC236}">
              <a16:creationId xmlns:a16="http://schemas.microsoft.com/office/drawing/2014/main" id="{1C63C56E-8776-457C-8C1B-F229D2F9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97" name="Picture 996" descr="http://www.abs.gov.au/icons/ecblank.gif">
          <a:extLst>
            <a:ext uri="{FF2B5EF4-FFF2-40B4-BE49-F238E27FC236}">
              <a16:creationId xmlns:a16="http://schemas.microsoft.com/office/drawing/2014/main" id="{550640CC-4626-4267-9024-BDD28F562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998" name="Picture 997" descr="http://www.abs.gov.au/icons/ecblank.gif">
          <a:extLst>
            <a:ext uri="{FF2B5EF4-FFF2-40B4-BE49-F238E27FC236}">
              <a16:creationId xmlns:a16="http://schemas.microsoft.com/office/drawing/2014/main" id="{E6859AC1-EA5C-45CE-8EC1-C2DDF8491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999" name="Picture 998" descr="http://www.abs.gov.au/icons/ecblank.gif">
          <a:extLst>
            <a:ext uri="{FF2B5EF4-FFF2-40B4-BE49-F238E27FC236}">
              <a16:creationId xmlns:a16="http://schemas.microsoft.com/office/drawing/2014/main" id="{C5368135-1536-43B6-98C5-DBAB7DB05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00" name="Picture 999" descr="http://www.abs.gov.au/icons/ecblank.gif">
          <a:extLst>
            <a:ext uri="{FF2B5EF4-FFF2-40B4-BE49-F238E27FC236}">
              <a16:creationId xmlns:a16="http://schemas.microsoft.com/office/drawing/2014/main" id="{C7C9776C-EB31-4719-AC39-C789C5C5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01" name="Picture 1000" descr="http://www.abs.gov.au/icons/ecblank.gif">
          <a:extLst>
            <a:ext uri="{FF2B5EF4-FFF2-40B4-BE49-F238E27FC236}">
              <a16:creationId xmlns:a16="http://schemas.microsoft.com/office/drawing/2014/main" id="{35977359-3CE3-4C6B-917C-BDC4750F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02" name="Picture 1001" descr="http://www.abs.gov.au/icons/ecblank.gif">
          <a:extLst>
            <a:ext uri="{FF2B5EF4-FFF2-40B4-BE49-F238E27FC236}">
              <a16:creationId xmlns:a16="http://schemas.microsoft.com/office/drawing/2014/main" id="{FEAB78E7-D312-4619-9C1A-4D0CB8322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03" name="Picture 1002" descr="http://www.abs.gov.au/icons/ecblank.gif">
          <a:extLst>
            <a:ext uri="{FF2B5EF4-FFF2-40B4-BE49-F238E27FC236}">
              <a16:creationId xmlns:a16="http://schemas.microsoft.com/office/drawing/2014/main" id="{108CB128-990C-4702-986D-E26DAD39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04" name="Picture 1003" descr="http://www.abs.gov.au/icons/ecblank.gif">
          <a:extLst>
            <a:ext uri="{FF2B5EF4-FFF2-40B4-BE49-F238E27FC236}">
              <a16:creationId xmlns:a16="http://schemas.microsoft.com/office/drawing/2014/main" id="{51B2086C-D1AF-4831-8261-9C104781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05" name="Picture 108" descr="http://www.abs.gov.au/icons/ecblank.gif">
          <a:extLst>
            <a:ext uri="{FF2B5EF4-FFF2-40B4-BE49-F238E27FC236}">
              <a16:creationId xmlns:a16="http://schemas.microsoft.com/office/drawing/2014/main" id="{60281021-7A62-470F-AA13-24AD5552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06" name="Picture 109" descr="http://www.abs.gov.au/icons/ecblank.gif">
          <a:extLst>
            <a:ext uri="{FF2B5EF4-FFF2-40B4-BE49-F238E27FC236}">
              <a16:creationId xmlns:a16="http://schemas.microsoft.com/office/drawing/2014/main" id="{47EB183A-EB1D-43C0-8F2C-E47FED59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07" name="Picture 110" descr="http://www.abs.gov.au/icons/ecblank.gif">
          <a:extLst>
            <a:ext uri="{FF2B5EF4-FFF2-40B4-BE49-F238E27FC236}">
              <a16:creationId xmlns:a16="http://schemas.microsoft.com/office/drawing/2014/main" id="{0CC80EFC-2AEF-47DE-8305-8ED13C6DA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08" name="Picture 111" descr="http://www.abs.gov.au/icons/ecblank.gif">
          <a:extLst>
            <a:ext uri="{FF2B5EF4-FFF2-40B4-BE49-F238E27FC236}">
              <a16:creationId xmlns:a16="http://schemas.microsoft.com/office/drawing/2014/main" id="{E9D7C758-AC1E-486F-87F2-3BAD3E416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09" name="Picture 1008" descr="http://www.abs.gov.au/icons/ecblank.gif">
          <a:extLst>
            <a:ext uri="{FF2B5EF4-FFF2-40B4-BE49-F238E27FC236}">
              <a16:creationId xmlns:a16="http://schemas.microsoft.com/office/drawing/2014/main" id="{BDDE81EE-E1B7-46BA-B304-1777F68BC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10" name="Picture 1009" descr="http://www.abs.gov.au/icons/ecblank.gif">
          <a:extLst>
            <a:ext uri="{FF2B5EF4-FFF2-40B4-BE49-F238E27FC236}">
              <a16:creationId xmlns:a16="http://schemas.microsoft.com/office/drawing/2014/main" id="{D82D5081-2575-41B7-A063-98C7C085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11" name="Picture 1010" descr="http://www.abs.gov.au/icons/ecblank.gif">
          <a:extLst>
            <a:ext uri="{FF2B5EF4-FFF2-40B4-BE49-F238E27FC236}">
              <a16:creationId xmlns:a16="http://schemas.microsoft.com/office/drawing/2014/main" id="{353BD20C-3207-4A04-8EE9-51FA15C2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12" name="Picture 1011" descr="http://www.abs.gov.au/icons/ecblank.gif">
          <a:extLst>
            <a:ext uri="{FF2B5EF4-FFF2-40B4-BE49-F238E27FC236}">
              <a16:creationId xmlns:a16="http://schemas.microsoft.com/office/drawing/2014/main" id="{10C719DD-7442-4AF9-991D-A0BFDB410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13" name="Picture 1012" descr="http://www.abs.gov.au/icons/ecblank.gif">
          <a:extLst>
            <a:ext uri="{FF2B5EF4-FFF2-40B4-BE49-F238E27FC236}">
              <a16:creationId xmlns:a16="http://schemas.microsoft.com/office/drawing/2014/main" id="{BD5CBB9D-C541-41A8-BF96-58F7BB60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14" name="Picture 1013" descr="http://www.abs.gov.au/icons/ecblank.gif">
          <a:extLst>
            <a:ext uri="{FF2B5EF4-FFF2-40B4-BE49-F238E27FC236}">
              <a16:creationId xmlns:a16="http://schemas.microsoft.com/office/drawing/2014/main" id="{EC1EAFA4-643F-4291-9E65-420FDEDF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15" name="Picture 1014" descr="http://www.abs.gov.au/icons/ecblank.gif">
          <a:extLst>
            <a:ext uri="{FF2B5EF4-FFF2-40B4-BE49-F238E27FC236}">
              <a16:creationId xmlns:a16="http://schemas.microsoft.com/office/drawing/2014/main" id="{24A8AAE2-BC42-4854-8CA5-ADBEF7DB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16" name="Picture 1015" descr="http://www.abs.gov.au/icons/ecblank.gif">
          <a:extLst>
            <a:ext uri="{FF2B5EF4-FFF2-40B4-BE49-F238E27FC236}">
              <a16:creationId xmlns:a16="http://schemas.microsoft.com/office/drawing/2014/main" id="{56128FFF-8FB4-4086-A46C-1054844F9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17" name="Picture 108" descr="http://www.abs.gov.au/icons/ecblank.gif">
          <a:extLst>
            <a:ext uri="{FF2B5EF4-FFF2-40B4-BE49-F238E27FC236}">
              <a16:creationId xmlns:a16="http://schemas.microsoft.com/office/drawing/2014/main" id="{24B3BEFE-8E2C-4DE2-8D11-D40107DD9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18" name="Picture 109" descr="http://www.abs.gov.au/icons/ecblank.gif">
          <a:extLst>
            <a:ext uri="{FF2B5EF4-FFF2-40B4-BE49-F238E27FC236}">
              <a16:creationId xmlns:a16="http://schemas.microsoft.com/office/drawing/2014/main" id="{34F3D880-E000-4034-867F-0CA2CB95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19" name="Picture 110" descr="http://www.abs.gov.au/icons/ecblank.gif">
          <a:extLst>
            <a:ext uri="{FF2B5EF4-FFF2-40B4-BE49-F238E27FC236}">
              <a16:creationId xmlns:a16="http://schemas.microsoft.com/office/drawing/2014/main" id="{9E1366F5-23CB-4FF1-9F52-80776849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20" name="Picture 111" descr="http://www.abs.gov.au/icons/ecblank.gif">
          <a:extLst>
            <a:ext uri="{FF2B5EF4-FFF2-40B4-BE49-F238E27FC236}">
              <a16:creationId xmlns:a16="http://schemas.microsoft.com/office/drawing/2014/main" id="{571464E0-550D-42F3-B217-5DC9A772E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21" name="Picture 1020" descr="http://www.abs.gov.au/icons/ecblank.gif">
          <a:extLst>
            <a:ext uri="{FF2B5EF4-FFF2-40B4-BE49-F238E27FC236}">
              <a16:creationId xmlns:a16="http://schemas.microsoft.com/office/drawing/2014/main" id="{3C28238C-9858-478A-A3F1-FCC23E98C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22" name="Picture 1021" descr="http://www.abs.gov.au/icons/ecblank.gif">
          <a:extLst>
            <a:ext uri="{FF2B5EF4-FFF2-40B4-BE49-F238E27FC236}">
              <a16:creationId xmlns:a16="http://schemas.microsoft.com/office/drawing/2014/main" id="{2FAB10A6-7D11-4EDE-9A76-9F01E29E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23" name="Picture 1022" descr="http://www.abs.gov.au/icons/ecblank.gif">
          <a:extLst>
            <a:ext uri="{FF2B5EF4-FFF2-40B4-BE49-F238E27FC236}">
              <a16:creationId xmlns:a16="http://schemas.microsoft.com/office/drawing/2014/main" id="{76CEC30D-E545-4318-AA21-3380CF4DE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24" name="Picture 1023" descr="http://www.abs.gov.au/icons/ecblank.gif">
          <a:extLst>
            <a:ext uri="{FF2B5EF4-FFF2-40B4-BE49-F238E27FC236}">
              <a16:creationId xmlns:a16="http://schemas.microsoft.com/office/drawing/2014/main" id="{27C21FAA-6D51-4E46-8C1B-1607445D0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25" name="Picture 1024" descr="http://www.abs.gov.au/icons/ecblank.gif">
          <a:extLst>
            <a:ext uri="{FF2B5EF4-FFF2-40B4-BE49-F238E27FC236}">
              <a16:creationId xmlns:a16="http://schemas.microsoft.com/office/drawing/2014/main" id="{FDA7C28B-460D-4F54-97E8-563FB86A4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26" name="Picture 1025" descr="http://www.abs.gov.au/icons/ecblank.gif">
          <a:extLst>
            <a:ext uri="{FF2B5EF4-FFF2-40B4-BE49-F238E27FC236}">
              <a16:creationId xmlns:a16="http://schemas.microsoft.com/office/drawing/2014/main" id="{C297127F-4DDC-4E1A-B90F-FCC56596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27" name="Picture 1026" descr="http://www.abs.gov.au/icons/ecblank.gif">
          <a:extLst>
            <a:ext uri="{FF2B5EF4-FFF2-40B4-BE49-F238E27FC236}">
              <a16:creationId xmlns:a16="http://schemas.microsoft.com/office/drawing/2014/main" id="{8FFBCEB8-8052-49B5-AE04-E26BE40C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28" name="Picture 1027" descr="http://www.abs.gov.au/icons/ecblank.gif">
          <a:extLst>
            <a:ext uri="{FF2B5EF4-FFF2-40B4-BE49-F238E27FC236}">
              <a16:creationId xmlns:a16="http://schemas.microsoft.com/office/drawing/2014/main" id="{2B076FCC-C2FF-4191-93D4-3D5373E10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29" name="Picture 1028" descr="http://www.abs.gov.au/icons/ecblank.gif">
          <a:extLst>
            <a:ext uri="{FF2B5EF4-FFF2-40B4-BE49-F238E27FC236}">
              <a16:creationId xmlns:a16="http://schemas.microsoft.com/office/drawing/2014/main" id="{FF6766C8-78C0-4A5E-8A76-05D7F0A4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30" name="Picture 1029" descr="http://www.abs.gov.au/icons/ecblank.gif">
          <a:extLst>
            <a:ext uri="{FF2B5EF4-FFF2-40B4-BE49-F238E27FC236}">
              <a16:creationId xmlns:a16="http://schemas.microsoft.com/office/drawing/2014/main" id="{41F80F30-4F9A-4938-8BEC-E0674E3B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31" name="Picture 1030" descr="http://www.abs.gov.au/icons/ecblank.gif">
          <a:extLst>
            <a:ext uri="{FF2B5EF4-FFF2-40B4-BE49-F238E27FC236}">
              <a16:creationId xmlns:a16="http://schemas.microsoft.com/office/drawing/2014/main" id="{CB812F61-1A38-44C2-8A5C-2E745F17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32" name="Picture 1031" descr="http://www.abs.gov.au/icons/ecblank.gif">
          <a:extLst>
            <a:ext uri="{FF2B5EF4-FFF2-40B4-BE49-F238E27FC236}">
              <a16:creationId xmlns:a16="http://schemas.microsoft.com/office/drawing/2014/main" id="{46BC7AA1-9760-4ACB-877F-B70235D7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33" name="Picture 1032" descr="http://www.abs.gov.au/icons/ecblank.gif">
          <a:extLst>
            <a:ext uri="{FF2B5EF4-FFF2-40B4-BE49-F238E27FC236}">
              <a16:creationId xmlns:a16="http://schemas.microsoft.com/office/drawing/2014/main" id="{91576752-6E05-418A-A902-9BBAFCD3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34" name="Picture 1033" descr="http://www.abs.gov.au/icons/ecblank.gif">
          <a:extLst>
            <a:ext uri="{FF2B5EF4-FFF2-40B4-BE49-F238E27FC236}">
              <a16:creationId xmlns:a16="http://schemas.microsoft.com/office/drawing/2014/main" id="{DDD92895-F9D5-4433-ABB1-F3BD8BAEE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35" name="Picture 1034" descr="http://www.abs.gov.au/icons/ecblank.gif">
          <a:extLst>
            <a:ext uri="{FF2B5EF4-FFF2-40B4-BE49-F238E27FC236}">
              <a16:creationId xmlns:a16="http://schemas.microsoft.com/office/drawing/2014/main" id="{FC408137-0055-43B2-A745-CDF10006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36" name="Picture 1035" descr="http://www.abs.gov.au/icons/ecblank.gif">
          <a:extLst>
            <a:ext uri="{FF2B5EF4-FFF2-40B4-BE49-F238E27FC236}">
              <a16:creationId xmlns:a16="http://schemas.microsoft.com/office/drawing/2014/main" id="{D18063C0-2735-4903-9BEA-E8A73D25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37" name="Picture 1036" descr="http://www.abs.gov.au/icons/ecblank.gif">
          <a:extLst>
            <a:ext uri="{FF2B5EF4-FFF2-40B4-BE49-F238E27FC236}">
              <a16:creationId xmlns:a16="http://schemas.microsoft.com/office/drawing/2014/main" id="{A3F29245-8E2E-40F7-B509-806B2B53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38" name="Picture 1037" descr="http://www.abs.gov.au/icons/ecblank.gif">
          <a:extLst>
            <a:ext uri="{FF2B5EF4-FFF2-40B4-BE49-F238E27FC236}">
              <a16:creationId xmlns:a16="http://schemas.microsoft.com/office/drawing/2014/main" id="{D6FEE343-54C4-4D83-B2A4-F62836EB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39" name="Picture 108" descr="http://www.abs.gov.au/icons/ecblank.gif">
          <a:extLst>
            <a:ext uri="{FF2B5EF4-FFF2-40B4-BE49-F238E27FC236}">
              <a16:creationId xmlns:a16="http://schemas.microsoft.com/office/drawing/2014/main" id="{C3609B0B-032D-4574-A3E1-274417D6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40" name="Picture 109" descr="http://www.abs.gov.au/icons/ecblank.gif">
          <a:extLst>
            <a:ext uri="{FF2B5EF4-FFF2-40B4-BE49-F238E27FC236}">
              <a16:creationId xmlns:a16="http://schemas.microsoft.com/office/drawing/2014/main" id="{0E40064D-450E-4B27-911C-EEACD5BB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41" name="Picture 110" descr="http://www.abs.gov.au/icons/ecblank.gif">
          <a:extLst>
            <a:ext uri="{FF2B5EF4-FFF2-40B4-BE49-F238E27FC236}">
              <a16:creationId xmlns:a16="http://schemas.microsoft.com/office/drawing/2014/main" id="{5D9B9DB5-8F09-40AE-85E8-D4614C080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42" name="Picture 111" descr="http://www.abs.gov.au/icons/ecblank.gif">
          <a:extLst>
            <a:ext uri="{FF2B5EF4-FFF2-40B4-BE49-F238E27FC236}">
              <a16:creationId xmlns:a16="http://schemas.microsoft.com/office/drawing/2014/main" id="{72F03EDA-E129-4236-9360-C41A6B2A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43" name="Picture 1042" descr="http://www.abs.gov.au/icons/ecblank.gif">
          <a:extLst>
            <a:ext uri="{FF2B5EF4-FFF2-40B4-BE49-F238E27FC236}">
              <a16:creationId xmlns:a16="http://schemas.microsoft.com/office/drawing/2014/main" id="{9CF85030-124F-4E16-8E91-2971A7BA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44" name="Picture 1043" descr="http://www.abs.gov.au/icons/ecblank.gif">
          <a:extLst>
            <a:ext uri="{FF2B5EF4-FFF2-40B4-BE49-F238E27FC236}">
              <a16:creationId xmlns:a16="http://schemas.microsoft.com/office/drawing/2014/main" id="{ECBECA41-CB89-41C4-AE7F-2F5BA8210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45" name="Picture 1044" descr="http://www.abs.gov.au/icons/ecblank.gif">
          <a:extLst>
            <a:ext uri="{FF2B5EF4-FFF2-40B4-BE49-F238E27FC236}">
              <a16:creationId xmlns:a16="http://schemas.microsoft.com/office/drawing/2014/main" id="{303AA599-7546-4C44-8A4D-B95BC9FE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46" name="Picture 1045" descr="http://www.abs.gov.au/icons/ecblank.gif">
          <a:extLst>
            <a:ext uri="{FF2B5EF4-FFF2-40B4-BE49-F238E27FC236}">
              <a16:creationId xmlns:a16="http://schemas.microsoft.com/office/drawing/2014/main" id="{6433916A-21A9-401F-B75E-40422B78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47" name="Picture 1046" descr="http://www.abs.gov.au/icons/ecblank.gif">
          <a:extLst>
            <a:ext uri="{FF2B5EF4-FFF2-40B4-BE49-F238E27FC236}">
              <a16:creationId xmlns:a16="http://schemas.microsoft.com/office/drawing/2014/main" id="{03F9ABD4-B6E2-4306-967B-B7C06CEB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48" name="Picture 1047" descr="http://www.abs.gov.au/icons/ecblank.gif">
          <a:extLst>
            <a:ext uri="{FF2B5EF4-FFF2-40B4-BE49-F238E27FC236}">
              <a16:creationId xmlns:a16="http://schemas.microsoft.com/office/drawing/2014/main" id="{79B3B7E1-4190-4972-A613-063879D1E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49" name="Picture 1048" descr="http://www.abs.gov.au/icons/ecblank.gif">
          <a:extLst>
            <a:ext uri="{FF2B5EF4-FFF2-40B4-BE49-F238E27FC236}">
              <a16:creationId xmlns:a16="http://schemas.microsoft.com/office/drawing/2014/main" id="{B0376B1B-E969-43DC-B172-81C3753F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50" name="Picture 1049" descr="http://www.abs.gov.au/icons/ecblank.gif">
          <a:extLst>
            <a:ext uri="{FF2B5EF4-FFF2-40B4-BE49-F238E27FC236}">
              <a16:creationId xmlns:a16="http://schemas.microsoft.com/office/drawing/2014/main" id="{CBB79FC4-ED71-4511-8D97-20E09A900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51" name="Picture 108" descr="http://www.abs.gov.au/icons/ecblank.gif">
          <a:extLst>
            <a:ext uri="{FF2B5EF4-FFF2-40B4-BE49-F238E27FC236}">
              <a16:creationId xmlns:a16="http://schemas.microsoft.com/office/drawing/2014/main" id="{958688DC-C00F-40BF-8F97-EE174AF6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52" name="Picture 109" descr="http://www.abs.gov.au/icons/ecblank.gif">
          <a:extLst>
            <a:ext uri="{FF2B5EF4-FFF2-40B4-BE49-F238E27FC236}">
              <a16:creationId xmlns:a16="http://schemas.microsoft.com/office/drawing/2014/main" id="{8767DC3B-3788-4C0C-A669-1B96FC07E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53" name="Picture 110" descr="http://www.abs.gov.au/icons/ecblank.gif">
          <a:extLst>
            <a:ext uri="{FF2B5EF4-FFF2-40B4-BE49-F238E27FC236}">
              <a16:creationId xmlns:a16="http://schemas.microsoft.com/office/drawing/2014/main" id="{A718B348-996C-48B8-8E82-8DD6683AC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54" name="Picture 111" descr="http://www.abs.gov.au/icons/ecblank.gif">
          <a:extLst>
            <a:ext uri="{FF2B5EF4-FFF2-40B4-BE49-F238E27FC236}">
              <a16:creationId xmlns:a16="http://schemas.microsoft.com/office/drawing/2014/main" id="{3C898C99-5A3B-49BF-8DEF-A092C7C4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55" name="Picture 1054" descr="http://www.abs.gov.au/icons/ecblank.gif">
          <a:extLst>
            <a:ext uri="{FF2B5EF4-FFF2-40B4-BE49-F238E27FC236}">
              <a16:creationId xmlns:a16="http://schemas.microsoft.com/office/drawing/2014/main" id="{F3628C29-BD8D-4E2C-BC83-7709598F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56" name="Picture 1055" descr="http://www.abs.gov.au/icons/ecblank.gif">
          <a:extLst>
            <a:ext uri="{FF2B5EF4-FFF2-40B4-BE49-F238E27FC236}">
              <a16:creationId xmlns:a16="http://schemas.microsoft.com/office/drawing/2014/main" id="{6ED0BCF6-155F-4428-A223-8E4B91857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57" name="Picture 1056" descr="http://www.abs.gov.au/icons/ecblank.gif">
          <a:extLst>
            <a:ext uri="{FF2B5EF4-FFF2-40B4-BE49-F238E27FC236}">
              <a16:creationId xmlns:a16="http://schemas.microsoft.com/office/drawing/2014/main" id="{77BD20D6-5FCB-4FC9-A0FA-CEAC547A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58" name="Picture 1057" descr="http://www.abs.gov.au/icons/ecblank.gif">
          <a:extLst>
            <a:ext uri="{FF2B5EF4-FFF2-40B4-BE49-F238E27FC236}">
              <a16:creationId xmlns:a16="http://schemas.microsoft.com/office/drawing/2014/main" id="{4CF1C66A-F91E-40F2-A44A-72B41EDD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59" name="Picture 1058" descr="http://www.abs.gov.au/icons/ecblank.gif">
          <a:extLst>
            <a:ext uri="{FF2B5EF4-FFF2-40B4-BE49-F238E27FC236}">
              <a16:creationId xmlns:a16="http://schemas.microsoft.com/office/drawing/2014/main" id="{BAB0FDAA-5A31-4D39-A81C-A38AD0F08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60" name="Picture 1059" descr="http://www.abs.gov.au/icons/ecblank.gif">
          <a:extLst>
            <a:ext uri="{FF2B5EF4-FFF2-40B4-BE49-F238E27FC236}">
              <a16:creationId xmlns:a16="http://schemas.microsoft.com/office/drawing/2014/main" id="{F3AED1BF-3299-457C-BB10-731D66601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61" name="Picture 1060" descr="http://www.abs.gov.au/icons/ecblank.gif">
          <a:extLst>
            <a:ext uri="{FF2B5EF4-FFF2-40B4-BE49-F238E27FC236}">
              <a16:creationId xmlns:a16="http://schemas.microsoft.com/office/drawing/2014/main" id="{A960E3E2-C204-42AE-9412-6877115C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62" name="Picture 1061" descr="http://www.abs.gov.au/icons/ecblank.gif">
          <a:extLst>
            <a:ext uri="{FF2B5EF4-FFF2-40B4-BE49-F238E27FC236}">
              <a16:creationId xmlns:a16="http://schemas.microsoft.com/office/drawing/2014/main" id="{6DFAA8BF-FB2D-415F-801B-BBAAA464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63" name="Picture 1062" descr="http://www.abs.gov.au/icons/ecblank.gif">
          <a:extLst>
            <a:ext uri="{FF2B5EF4-FFF2-40B4-BE49-F238E27FC236}">
              <a16:creationId xmlns:a16="http://schemas.microsoft.com/office/drawing/2014/main" id="{AAF1BC14-59B8-4291-AAFA-16E606EF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64" name="Picture 1063" descr="http://www.abs.gov.au/icons/ecblank.gif">
          <a:extLst>
            <a:ext uri="{FF2B5EF4-FFF2-40B4-BE49-F238E27FC236}">
              <a16:creationId xmlns:a16="http://schemas.microsoft.com/office/drawing/2014/main" id="{5B47CAAD-F9DC-4DA1-8B04-5B0A2EBD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65" name="Picture 1064" descr="http://www.abs.gov.au/icons/ecblank.gif">
          <a:extLst>
            <a:ext uri="{FF2B5EF4-FFF2-40B4-BE49-F238E27FC236}">
              <a16:creationId xmlns:a16="http://schemas.microsoft.com/office/drawing/2014/main" id="{28289452-04E4-4051-8AF6-2FAC9406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66" name="Picture 1065" descr="http://www.abs.gov.au/icons/ecblank.gif">
          <a:extLst>
            <a:ext uri="{FF2B5EF4-FFF2-40B4-BE49-F238E27FC236}">
              <a16:creationId xmlns:a16="http://schemas.microsoft.com/office/drawing/2014/main" id="{AEDAADBE-C350-497D-9952-2F7286DB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67" name="Picture 1066" descr="http://www.abs.gov.au/icons/ecblank.gif">
          <a:extLst>
            <a:ext uri="{FF2B5EF4-FFF2-40B4-BE49-F238E27FC236}">
              <a16:creationId xmlns:a16="http://schemas.microsoft.com/office/drawing/2014/main" id="{181512DD-6FCD-480C-8EF6-3D9DF1C1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68" name="Picture 1067" descr="http://www.abs.gov.au/icons/ecblank.gif">
          <a:extLst>
            <a:ext uri="{FF2B5EF4-FFF2-40B4-BE49-F238E27FC236}">
              <a16:creationId xmlns:a16="http://schemas.microsoft.com/office/drawing/2014/main" id="{6E6DE114-7771-4572-BCA6-8E09EDD87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69" name="Picture 1068" descr="http://www.abs.gov.au/icons/ecblank.gif">
          <a:extLst>
            <a:ext uri="{FF2B5EF4-FFF2-40B4-BE49-F238E27FC236}">
              <a16:creationId xmlns:a16="http://schemas.microsoft.com/office/drawing/2014/main" id="{52B5213E-F90B-4234-A787-FF0CCC8D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70" name="Picture 1069" descr="http://www.abs.gov.au/icons/ecblank.gif">
          <a:extLst>
            <a:ext uri="{FF2B5EF4-FFF2-40B4-BE49-F238E27FC236}">
              <a16:creationId xmlns:a16="http://schemas.microsoft.com/office/drawing/2014/main" id="{A68D2AEC-6D06-45FE-B1FD-EB80CABD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71" name="Picture 1070" descr="http://www.abs.gov.au/icons/ecblank.gif">
          <a:extLst>
            <a:ext uri="{FF2B5EF4-FFF2-40B4-BE49-F238E27FC236}">
              <a16:creationId xmlns:a16="http://schemas.microsoft.com/office/drawing/2014/main" id="{8EA82217-475E-4B3D-B9C7-5998A37C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72" name="Picture 1071" descr="http://www.abs.gov.au/icons/ecblank.gif">
          <a:extLst>
            <a:ext uri="{FF2B5EF4-FFF2-40B4-BE49-F238E27FC236}">
              <a16:creationId xmlns:a16="http://schemas.microsoft.com/office/drawing/2014/main" id="{5F94F4A7-6FDD-4636-9E0A-E5A3DAD1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73" name="Picture 108" descr="http://www.abs.gov.au/icons/ecblank.gif">
          <a:extLst>
            <a:ext uri="{FF2B5EF4-FFF2-40B4-BE49-F238E27FC236}">
              <a16:creationId xmlns:a16="http://schemas.microsoft.com/office/drawing/2014/main" id="{7AF157A9-B1E2-4514-9633-C245EEA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9525</xdr:rowOff>
    </xdr:to>
    <xdr:pic>
      <xdr:nvPicPr>
        <xdr:cNvPr id="1074" name="Picture 109" descr="http://www.abs.gov.au/icons/ecblank.gif">
          <a:extLst>
            <a:ext uri="{FF2B5EF4-FFF2-40B4-BE49-F238E27FC236}">
              <a16:creationId xmlns:a16="http://schemas.microsoft.com/office/drawing/2014/main" id="{4E829E1B-ACC1-45DC-9CE5-19FE6729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982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75" name="Picture 110" descr="http://www.abs.gov.au/icons/ecblank.gif">
          <a:extLst>
            <a:ext uri="{FF2B5EF4-FFF2-40B4-BE49-F238E27FC236}">
              <a16:creationId xmlns:a16="http://schemas.microsoft.com/office/drawing/2014/main" id="{2059B578-B1F1-4F26-BA7C-62A48E0F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9525</xdr:rowOff>
    </xdr:to>
    <xdr:pic>
      <xdr:nvPicPr>
        <xdr:cNvPr id="1076" name="Picture 111" descr="http://www.abs.gov.au/icons/ecblank.gif">
          <a:extLst>
            <a:ext uri="{FF2B5EF4-FFF2-40B4-BE49-F238E27FC236}">
              <a16:creationId xmlns:a16="http://schemas.microsoft.com/office/drawing/2014/main" id="{4476DC42-C019-40EE-B474-866F6138E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9030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77" name="Picture 1076" descr="http://www.abs.gov.au/icons/ecblank.gif">
          <a:extLst>
            <a:ext uri="{FF2B5EF4-FFF2-40B4-BE49-F238E27FC236}">
              <a16:creationId xmlns:a16="http://schemas.microsoft.com/office/drawing/2014/main" id="{58259001-589B-4987-AD1C-A08D0EF1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78" name="Picture 1077" descr="http://www.abs.gov.au/icons/ecblank.gif">
          <a:extLst>
            <a:ext uri="{FF2B5EF4-FFF2-40B4-BE49-F238E27FC236}">
              <a16:creationId xmlns:a16="http://schemas.microsoft.com/office/drawing/2014/main" id="{65EF0EBC-95F9-46C5-8B8F-FEAC2B5D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79" name="Picture 1078" descr="http://www.abs.gov.au/icons/ecblank.gif">
          <a:extLst>
            <a:ext uri="{FF2B5EF4-FFF2-40B4-BE49-F238E27FC236}">
              <a16:creationId xmlns:a16="http://schemas.microsoft.com/office/drawing/2014/main" id="{A19975BD-D277-47FF-B4BE-D397DA2F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80" name="Picture 1079" descr="http://www.abs.gov.au/icons/ecblank.gif">
          <a:extLst>
            <a:ext uri="{FF2B5EF4-FFF2-40B4-BE49-F238E27FC236}">
              <a16:creationId xmlns:a16="http://schemas.microsoft.com/office/drawing/2014/main" id="{C95D182F-3D16-4297-9CED-0FDD69B4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81" name="Picture 1080" descr="http://www.abs.gov.au/icons/ecblank.gif">
          <a:extLst>
            <a:ext uri="{FF2B5EF4-FFF2-40B4-BE49-F238E27FC236}">
              <a16:creationId xmlns:a16="http://schemas.microsoft.com/office/drawing/2014/main" id="{F4DEEE43-3D89-4172-8457-F545A69B2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82" name="Picture 1081" descr="http://www.abs.gov.au/icons/ecblank.gif">
          <a:extLst>
            <a:ext uri="{FF2B5EF4-FFF2-40B4-BE49-F238E27FC236}">
              <a16:creationId xmlns:a16="http://schemas.microsoft.com/office/drawing/2014/main" id="{6E43E8FC-BD23-4EE0-BB7B-A228A430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83" name="Picture 1082" descr="http://www.abs.gov.au/icons/ecblank.gif">
          <a:extLst>
            <a:ext uri="{FF2B5EF4-FFF2-40B4-BE49-F238E27FC236}">
              <a16:creationId xmlns:a16="http://schemas.microsoft.com/office/drawing/2014/main" id="{D348A301-E2C3-4845-AD1C-8DFF2486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84" name="Picture 1083" descr="http://www.abs.gov.au/icons/ecblank.gif">
          <a:extLst>
            <a:ext uri="{FF2B5EF4-FFF2-40B4-BE49-F238E27FC236}">
              <a16:creationId xmlns:a16="http://schemas.microsoft.com/office/drawing/2014/main" id="{C313C98D-EAE5-44AD-B601-82FD5504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85" name="Picture 108" descr="http://www.abs.gov.au/icons/ecblank.gif">
          <a:extLst>
            <a:ext uri="{FF2B5EF4-FFF2-40B4-BE49-F238E27FC236}">
              <a16:creationId xmlns:a16="http://schemas.microsoft.com/office/drawing/2014/main" id="{1A153E9D-F93D-451D-98F2-C8740E131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79</xdr:row>
      <xdr:rowOff>9525</xdr:rowOff>
    </xdr:to>
    <xdr:pic>
      <xdr:nvPicPr>
        <xdr:cNvPr id="1086" name="Picture 109" descr="http://www.abs.gov.au/icons/ecblank.gif">
          <a:extLst>
            <a:ext uri="{FF2B5EF4-FFF2-40B4-BE49-F238E27FC236}">
              <a16:creationId xmlns:a16="http://schemas.microsoft.com/office/drawing/2014/main" id="{267F99CA-AE27-45D2-AC4E-901506AE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5792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87" name="Picture 110" descr="http://www.abs.gov.au/icons/ecblank.gif">
          <a:extLst>
            <a:ext uri="{FF2B5EF4-FFF2-40B4-BE49-F238E27FC236}">
              <a16:creationId xmlns:a16="http://schemas.microsoft.com/office/drawing/2014/main" id="{AD617A86-A693-4712-B453-6787C1CE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95</xdr:row>
      <xdr:rowOff>9525</xdr:rowOff>
    </xdr:to>
    <xdr:pic>
      <xdr:nvPicPr>
        <xdr:cNvPr id="1088" name="Picture 111" descr="http://www.abs.gov.au/icons/ecblank.gif">
          <a:extLst>
            <a:ext uri="{FF2B5EF4-FFF2-40B4-BE49-F238E27FC236}">
              <a16:creationId xmlns:a16="http://schemas.microsoft.com/office/drawing/2014/main" id="{AD57E9C3-D0BA-40E3-B89C-6373EC7B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81575" y="18840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89" name="Picture 1088" descr="http://www.abs.gov.au/icons/ecblank.gif">
          <a:extLst>
            <a:ext uri="{FF2B5EF4-FFF2-40B4-BE49-F238E27FC236}">
              <a16:creationId xmlns:a16="http://schemas.microsoft.com/office/drawing/2014/main" id="{B8D9C76D-0880-46DB-8F83-8E91F49A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90" name="Picture 1089" descr="http://www.abs.gov.au/icons/ecblank.gif">
          <a:extLst>
            <a:ext uri="{FF2B5EF4-FFF2-40B4-BE49-F238E27FC236}">
              <a16:creationId xmlns:a16="http://schemas.microsoft.com/office/drawing/2014/main" id="{B1F71114-5617-437F-9726-A3EA94AA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91" name="Picture 1090" descr="http://www.abs.gov.au/icons/ecblank.gif">
          <a:extLst>
            <a:ext uri="{FF2B5EF4-FFF2-40B4-BE49-F238E27FC236}">
              <a16:creationId xmlns:a16="http://schemas.microsoft.com/office/drawing/2014/main" id="{2C1085C3-29A3-43FC-9D62-08A7DE93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92" name="Picture 1091" descr="http://www.abs.gov.au/icons/ecblank.gif">
          <a:extLst>
            <a:ext uri="{FF2B5EF4-FFF2-40B4-BE49-F238E27FC236}">
              <a16:creationId xmlns:a16="http://schemas.microsoft.com/office/drawing/2014/main" id="{1010FBD2-8E41-4F91-8C2B-93B44E8C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76</xdr:row>
      <xdr:rowOff>171450</xdr:rowOff>
    </xdr:from>
    <xdr:to>
      <xdr:col>6</xdr:col>
      <xdr:colOff>9525</xdr:colOff>
      <xdr:row>76</xdr:row>
      <xdr:rowOff>180975</xdr:rowOff>
    </xdr:to>
    <xdr:pic>
      <xdr:nvPicPr>
        <xdr:cNvPr id="1093" name="Picture 1092" descr="http://www.abs.gov.au/icons/ecblank.gif">
          <a:extLst>
            <a:ext uri="{FF2B5EF4-FFF2-40B4-BE49-F238E27FC236}">
              <a16:creationId xmlns:a16="http://schemas.microsoft.com/office/drawing/2014/main" id="{8A080B80-728F-4CED-945D-D7FD9BBB2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991100" y="15392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94" name="Picture 1093" descr="http://www.abs.gov.au/icons/ecblank.gif">
          <a:extLst>
            <a:ext uri="{FF2B5EF4-FFF2-40B4-BE49-F238E27FC236}">
              <a16:creationId xmlns:a16="http://schemas.microsoft.com/office/drawing/2014/main" id="{1D07B062-3799-4B38-BF41-E9D2CBF4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95" name="Picture 1094" descr="http://www.abs.gov.au/icons/ecblank.gif">
          <a:extLst>
            <a:ext uri="{FF2B5EF4-FFF2-40B4-BE49-F238E27FC236}">
              <a16:creationId xmlns:a16="http://schemas.microsoft.com/office/drawing/2014/main" id="{B50533C3-B48F-42C0-8E25-0D8C0739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96" name="Picture 1095" descr="http://www.abs.gov.au/icons/ecblank.gif">
          <a:extLst>
            <a:ext uri="{FF2B5EF4-FFF2-40B4-BE49-F238E27FC236}">
              <a16:creationId xmlns:a16="http://schemas.microsoft.com/office/drawing/2014/main" id="{884932E9-F60E-430B-B032-4740BA9B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97" name="Picture 1096" descr="http://www.abs.gov.au/icons/ecblank.gif">
          <a:extLst>
            <a:ext uri="{FF2B5EF4-FFF2-40B4-BE49-F238E27FC236}">
              <a16:creationId xmlns:a16="http://schemas.microsoft.com/office/drawing/2014/main" id="{5D72E739-2FFF-496F-8421-ED42EC3A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77</xdr:row>
      <xdr:rowOff>171450</xdr:rowOff>
    </xdr:from>
    <xdr:to>
      <xdr:col>5</xdr:col>
      <xdr:colOff>9525</xdr:colOff>
      <xdr:row>77</xdr:row>
      <xdr:rowOff>180975</xdr:rowOff>
    </xdr:to>
    <xdr:pic>
      <xdr:nvPicPr>
        <xdr:cNvPr id="1098" name="Picture 1097" descr="http://www.abs.gov.au/icons/ecblank.gif">
          <a:extLst>
            <a:ext uri="{FF2B5EF4-FFF2-40B4-BE49-F238E27FC236}">
              <a16:creationId xmlns:a16="http://schemas.microsoft.com/office/drawing/2014/main" id="{C4E5267F-86E5-4FCD-91A0-2ADD7FC0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257675" y="15582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552450</xdr:colOff>
      <xdr:row>10</xdr:row>
      <xdr:rowOff>57150</xdr:rowOff>
    </xdr:from>
    <xdr:to>
      <xdr:col>20</xdr:col>
      <xdr:colOff>247650</xdr:colOff>
      <xdr:row>28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79130A-39DD-4946-A2BA-B98647B1C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29</xdr:row>
      <xdr:rowOff>0</xdr:rowOff>
    </xdr:from>
    <xdr:to>
      <xdr:col>26</xdr:col>
      <xdr:colOff>423549</xdr:colOff>
      <xdr:row>62</xdr:row>
      <xdr:rowOff>125881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3E33F99-F316-4D76-B5B4-E2185C00A6DA}"/>
            </a:ext>
          </a:extLst>
        </xdr:cNvPr>
        <xdr:cNvGrpSpPr/>
      </xdr:nvGrpSpPr>
      <xdr:grpSpPr>
        <a:xfrm>
          <a:off x="9572625" y="4514850"/>
          <a:ext cx="8348349" cy="5183656"/>
          <a:chOff x="251520" y="332656"/>
          <a:chExt cx="8348349" cy="5079910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B56B760B-7223-4740-9400-6B2D9DD07CCE}"/>
              </a:ext>
            </a:extLst>
          </xdr:cNvPr>
          <xdr:cNvGrpSpPr/>
        </xdr:nvGrpSpPr>
        <xdr:grpSpPr>
          <a:xfrm>
            <a:off x="616711" y="1105708"/>
            <a:ext cx="7983158" cy="4306858"/>
            <a:chOff x="865943" y="1077662"/>
            <a:chExt cx="7983158" cy="4306858"/>
          </a:xfrm>
        </xdr:grpSpPr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67F575CF-2DFC-447A-A8E7-08D434D47155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65943" y="1077662"/>
              <a:ext cx="3181818" cy="4306858"/>
              <a:chOff x="0" y="0"/>
              <a:chExt cx="2394689" cy="3294366"/>
            </a:xfrm>
            <a:solidFill>
              <a:schemeClr val="tx1">
                <a:lumMod val="75000"/>
                <a:lumOff val="25000"/>
              </a:schemeClr>
            </a:solidFill>
            <a:effectLst/>
          </xdr:grpSpPr>
          <xdr:sp macro="" textlink="">
            <xdr:nvSpPr>
              <xdr:cNvPr id="27" name="Trapezoid 26">
                <a:extLst>
                  <a:ext uri="{FF2B5EF4-FFF2-40B4-BE49-F238E27FC236}">
                    <a16:creationId xmlns:a16="http://schemas.microsoft.com/office/drawing/2014/main" id="{43E13E68-3E2F-4889-9A2D-810745D0B800}"/>
                  </a:ext>
                </a:extLst>
              </xdr:cNvPr>
              <xdr:cNvSpPr/>
            </xdr:nvSpPr>
            <xdr:spPr>
              <a:xfrm rot="10800000">
                <a:off x="306457" y="90010"/>
                <a:ext cx="2016224" cy="3168352"/>
              </a:xfrm>
              <a:prstGeom prst="trapezoid">
                <a:avLst>
                  <a:gd name="adj" fmla="val 6373"/>
                </a:avLst>
              </a:prstGeom>
              <a:grp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28" name="Oval 27">
                <a:extLst>
                  <a:ext uri="{FF2B5EF4-FFF2-40B4-BE49-F238E27FC236}">
                    <a16:creationId xmlns:a16="http://schemas.microsoft.com/office/drawing/2014/main" id="{2E45CC74-7988-44FA-BDF5-02FEE8405F88}"/>
                  </a:ext>
                </a:extLst>
              </xdr:cNvPr>
              <xdr:cNvSpPr/>
            </xdr:nvSpPr>
            <xdr:spPr>
              <a:xfrm>
                <a:off x="207977" y="2574286"/>
                <a:ext cx="720081" cy="720080"/>
              </a:xfrm>
              <a:prstGeom prst="ellipse">
                <a:avLst/>
              </a:prstGeom>
              <a:grp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29" name="Oval 28">
                <a:extLst>
                  <a:ext uri="{FF2B5EF4-FFF2-40B4-BE49-F238E27FC236}">
                    <a16:creationId xmlns:a16="http://schemas.microsoft.com/office/drawing/2014/main" id="{D6E49A87-43D8-4972-A7F2-918F58F60962}"/>
                  </a:ext>
                </a:extLst>
              </xdr:cNvPr>
              <xdr:cNvSpPr/>
            </xdr:nvSpPr>
            <xdr:spPr>
              <a:xfrm>
                <a:off x="460900" y="2826314"/>
                <a:ext cx="214131" cy="216024"/>
              </a:xfrm>
              <a:prstGeom prst="ellipse">
                <a:avLst/>
              </a:prstGeom>
              <a:grp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30" name="Snip and Round Single Corner Rectangle 19">
                <a:extLst>
                  <a:ext uri="{FF2B5EF4-FFF2-40B4-BE49-F238E27FC236}">
                    <a16:creationId xmlns:a16="http://schemas.microsoft.com/office/drawing/2014/main" id="{193935EE-8DB0-47D2-9EDD-3DB50D8653D4}"/>
                  </a:ext>
                </a:extLst>
              </xdr:cNvPr>
              <xdr:cNvSpPr/>
            </xdr:nvSpPr>
            <xdr:spPr>
              <a:xfrm>
                <a:off x="90433" y="18002"/>
                <a:ext cx="2304256" cy="288032"/>
              </a:xfrm>
              <a:prstGeom prst="snipRoundRect">
                <a:avLst/>
              </a:prstGeom>
              <a:solidFill>
                <a:srgbClr val="FF0000"/>
              </a:solid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2">
                <a:schemeClr val="accent4">
                  <a:shade val="50000"/>
                </a:schemeClr>
              </a:lnRef>
              <a:fillRef idx="1">
                <a:schemeClr val="accent4"/>
              </a:fillRef>
              <a:effectRef idx="0">
                <a:schemeClr val="accent4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31" name="Oval 30">
                <a:extLst>
                  <a:ext uri="{FF2B5EF4-FFF2-40B4-BE49-F238E27FC236}">
                    <a16:creationId xmlns:a16="http://schemas.microsoft.com/office/drawing/2014/main" id="{C226B30B-D8D1-4492-9A61-529C39B6AB9C}"/>
                  </a:ext>
                </a:extLst>
              </xdr:cNvPr>
              <xdr:cNvSpPr/>
            </xdr:nvSpPr>
            <xdr:spPr>
              <a:xfrm>
                <a:off x="0" y="0"/>
                <a:ext cx="306456" cy="324036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32" name="Oval 31">
                <a:extLst>
                  <a:ext uri="{FF2B5EF4-FFF2-40B4-BE49-F238E27FC236}">
                    <a16:creationId xmlns:a16="http://schemas.microsoft.com/office/drawing/2014/main" id="{791DCC2F-7AEA-4609-99E2-4D4644F3DF5E}"/>
                  </a:ext>
                </a:extLst>
              </xdr:cNvPr>
              <xdr:cNvSpPr/>
            </xdr:nvSpPr>
            <xdr:spPr>
              <a:xfrm>
                <a:off x="99695" y="116519"/>
                <a:ext cx="107065" cy="108012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</xdr:grpSp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8AF36667-77B8-458B-80C5-E653DACFFCB1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4347016" y="2748294"/>
              <a:ext cx="1960874" cy="2636226"/>
              <a:chOff x="1594402" y="340393"/>
              <a:chExt cx="2394689" cy="3294366"/>
            </a:xfrm>
          </xdr:grpSpPr>
          <xdr:sp macro="" textlink="">
            <xdr:nvSpPr>
              <xdr:cNvPr id="21" name="Trapezoid 20">
                <a:extLst>
                  <a:ext uri="{FF2B5EF4-FFF2-40B4-BE49-F238E27FC236}">
                    <a16:creationId xmlns:a16="http://schemas.microsoft.com/office/drawing/2014/main" id="{09E53A23-D285-472A-997A-A7BCA66120A2}"/>
                  </a:ext>
                </a:extLst>
              </xdr:cNvPr>
              <xdr:cNvSpPr/>
            </xdr:nvSpPr>
            <xdr:spPr>
              <a:xfrm rot="10800000">
                <a:off x="1900859" y="430403"/>
                <a:ext cx="2016224" cy="3168352"/>
              </a:xfrm>
              <a:prstGeom prst="trapezoid">
                <a:avLst>
                  <a:gd name="adj" fmla="val 6373"/>
                </a:avLst>
              </a:prstGeom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22" name="Oval 21">
                <a:extLst>
                  <a:ext uri="{FF2B5EF4-FFF2-40B4-BE49-F238E27FC236}">
                    <a16:creationId xmlns:a16="http://schemas.microsoft.com/office/drawing/2014/main" id="{A82678CC-89A2-4D73-99F3-3C22BBE420FE}"/>
                  </a:ext>
                </a:extLst>
              </xdr:cNvPr>
              <xdr:cNvSpPr/>
            </xdr:nvSpPr>
            <xdr:spPr>
              <a:xfrm>
                <a:off x="1802379" y="2914679"/>
                <a:ext cx="720081" cy="720080"/>
              </a:xfrm>
              <a:prstGeom prst="ellipse">
                <a:avLst/>
              </a:prstGeom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23" name="Oval 22">
                <a:extLst>
                  <a:ext uri="{FF2B5EF4-FFF2-40B4-BE49-F238E27FC236}">
                    <a16:creationId xmlns:a16="http://schemas.microsoft.com/office/drawing/2014/main" id="{40DB0469-B5A8-47D7-A929-D1D652A2050F}"/>
                  </a:ext>
                </a:extLst>
              </xdr:cNvPr>
              <xdr:cNvSpPr/>
            </xdr:nvSpPr>
            <xdr:spPr>
              <a:xfrm>
                <a:off x="2055302" y="3166707"/>
                <a:ext cx="214131" cy="216024"/>
              </a:xfrm>
              <a:prstGeom prst="ellipse">
                <a:avLst/>
              </a:prstGeom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24" name="Snip and Round Single Corner Rectangle 13">
                <a:extLst>
                  <a:ext uri="{FF2B5EF4-FFF2-40B4-BE49-F238E27FC236}">
                    <a16:creationId xmlns:a16="http://schemas.microsoft.com/office/drawing/2014/main" id="{71A951D4-3AAD-48DB-B334-FFA36EDEF85C}"/>
                  </a:ext>
                </a:extLst>
              </xdr:cNvPr>
              <xdr:cNvSpPr/>
            </xdr:nvSpPr>
            <xdr:spPr>
              <a:xfrm>
                <a:off x="1684835" y="358395"/>
                <a:ext cx="2304256" cy="288032"/>
              </a:xfrm>
              <a:prstGeom prst="snipRoundRect">
                <a:avLst/>
              </a:prstGeom>
              <a:solidFill>
                <a:srgbClr val="FFFF00"/>
              </a:solidFill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25" name="Oval 24">
                <a:extLst>
                  <a:ext uri="{FF2B5EF4-FFF2-40B4-BE49-F238E27FC236}">
                    <a16:creationId xmlns:a16="http://schemas.microsoft.com/office/drawing/2014/main" id="{D534FE6E-702B-48D6-A120-B4FD9E7D2B4D}"/>
                  </a:ext>
                </a:extLst>
              </xdr:cNvPr>
              <xdr:cNvSpPr/>
            </xdr:nvSpPr>
            <xdr:spPr>
              <a:xfrm>
                <a:off x="1594402" y="340393"/>
                <a:ext cx="306456" cy="324036"/>
              </a:xfrm>
              <a:prstGeom prst="ellipse">
                <a:avLst/>
              </a:prstGeom>
              <a:ln/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26" name="Oval 25">
                <a:extLst>
                  <a:ext uri="{FF2B5EF4-FFF2-40B4-BE49-F238E27FC236}">
                    <a16:creationId xmlns:a16="http://schemas.microsoft.com/office/drawing/2014/main" id="{CA592020-A829-4AE3-A3DD-F96C1E2E4179}"/>
                  </a:ext>
                </a:extLst>
              </xdr:cNvPr>
              <xdr:cNvSpPr/>
            </xdr:nvSpPr>
            <xdr:spPr>
              <a:xfrm>
                <a:off x="1694097" y="456912"/>
                <a:ext cx="107065" cy="108012"/>
              </a:xfrm>
              <a:prstGeom prst="ellipse">
                <a:avLst/>
              </a:prstGeom>
              <a:ln/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</xdr:grpSp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F0E5FC3B-41A1-4DFF-920A-168E7B5C88DF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6700504" y="2584194"/>
              <a:ext cx="1946990" cy="2800325"/>
              <a:chOff x="2682773" y="8228"/>
              <a:chExt cx="2467106" cy="3620181"/>
            </a:xfrm>
          </xdr:grpSpPr>
          <xdr:sp macro="" textlink="">
            <xdr:nvSpPr>
              <xdr:cNvPr id="15" name="Trapezoid 14">
                <a:extLst>
                  <a:ext uri="{FF2B5EF4-FFF2-40B4-BE49-F238E27FC236}">
                    <a16:creationId xmlns:a16="http://schemas.microsoft.com/office/drawing/2014/main" id="{97FB1EAB-281F-4DB5-AA59-094E7BCB452E}"/>
                  </a:ext>
                </a:extLst>
              </xdr:cNvPr>
              <xdr:cNvSpPr/>
            </xdr:nvSpPr>
            <xdr:spPr>
              <a:xfrm rot="10800000">
                <a:off x="2961666" y="355591"/>
                <a:ext cx="2092065" cy="3236812"/>
              </a:xfrm>
              <a:prstGeom prst="trapezoid">
                <a:avLst>
                  <a:gd name="adj" fmla="val 6373"/>
                </a:avLst>
              </a:prstGeom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6" name="Oval 15">
                <a:extLst>
                  <a:ext uri="{FF2B5EF4-FFF2-40B4-BE49-F238E27FC236}">
                    <a16:creationId xmlns:a16="http://schemas.microsoft.com/office/drawing/2014/main" id="{48C40085-5274-46BA-9E4A-0004ABA0C23D}"/>
                  </a:ext>
                </a:extLst>
              </xdr:cNvPr>
              <xdr:cNvSpPr/>
            </xdr:nvSpPr>
            <xdr:spPr>
              <a:xfrm>
                <a:off x="2806263" y="2908329"/>
                <a:ext cx="720081" cy="720080"/>
              </a:xfrm>
              <a:prstGeom prst="ellipse">
                <a:avLst/>
              </a:prstGeom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7" name="Oval 16">
                <a:extLst>
                  <a:ext uri="{FF2B5EF4-FFF2-40B4-BE49-F238E27FC236}">
                    <a16:creationId xmlns:a16="http://schemas.microsoft.com/office/drawing/2014/main" id="{A427D484-0EAC-42BF-B77D-644B630A7022}"/>
                  </a:ext>
                </a:extLst>
              </xdr:cNvPr>
              <xdr:cNvSpPr/>
            </xdr:nvSpPr>
            <xdr:spPr>
              <a:xfrm>
                <a:off x="3059187" y="3172424"/>
                <a:ext cx="214131" cy="216024"/>
              </a:xfrm>
              <a:prstGeom prst="ellipse">
                <a:avLst/>
              </a:prstGeom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8" name="Snip and Round Single Corner Rectangle 7">
                <a:extLst>
                  <a:ext uri="{FF2B5EF4-FFF2-40B4-BE49-F238E27FC236}">
                    <a16:creationId xmlns:a16="http://schemas.microsoft.com/office/drawing/2014/main" id="{E0DB9BD9-1361-44E9-B8D1-8BB2E92159A1}"/>
                  </a:ext>
                </a:extLst>
              </xdr:cNvPr>
              <xdr:cNvSpPr/>
            </xdr:nvSpPr>
            <xdr:spPr>
              <a:xfrm>
                <a:off x="2845623" y="26231"/>
                <a:ext cx="2304256" cy="288032"/>
              </a:xfrm>
              <a:prstGeom prst="snipRoundRect">
                <a:avLst/>
              </a:prstGeom>
              <a:solidFill>
                <a:schemeClr val="accent3"/>
              </a:solidFill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19" name="Oval 18">
                <a:extLst>
                  <a:ext uri="{FF2B5EF4-FFF2-40B4-BE49-F238E27FC236}">
                    <a16:creationId xmlns:a16="http://schemas.microsoft.com/office/drawing/2014/main" id="{C8733E08-ACC3-400F-9BAF-07EDBC4B9633}"/>
                  </a:ext>
                </a:extLst>
              </xdr:cNvPr>
              <xdr:cNvSpPr/>
            </xdr:nvSpPr>
            <xdr:spPr>
              <a:xfrm>
                <a:off x="2682773" y="8228"/>
                <a:ext cx="306456" cy="324036"/>
              </a:xfrm>
              <a:prstGeom prst="ellipse">
                <a:avLst/>
              </a:prstGeom>
              <a:ln/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  <xdr:sp macro="" textlink="">
            <xdr:nvSpPr>
              <xdr:cNvPr id="20" name="Oval 19">
                <a:extLst>
                  <a:ext uri="{FF2B5EF4-FFF2-40B4-BE49-F238E27FC236}">
                    <a16:creationId xmlns:a16="http://schemas.microsoft.com/office/drawing/2014/main" id="{BA690B9F-8B45-4D64-8757-73596D0463E2}"/>
                  </a:ext>
                </a:extLst>
              </xdr:cNvPr>
              <xdr:cNvSpPr/>
            </xdr:nvSpPr>
            <xdr:spPr>
              <a:xfrm>
                <a:off x="2782468" y="124747"/>
                <a:ext cx="107066" cy="108012"/>
              </a:xfrm>
              <a:prstGeom prst="ellipse">
                <a:avLst/>
              </a:prstGeom>
              <a:ln/>
            </xdr:spPr>
            <xdr:style>
              <a:lnRef idx="2">
                <a:schemeClr val="accent5">
                  <a:shade val="50000"/>
                </a:schemeClr>
              </a:lnRef>
              <a:fillRef idx="1">
                <a:schemeClr val="accent5"/>
              </a:fillRef>
              <a:effectRef idx="0">
                <a:schemeClr val="accent5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GB"/>
              </a:p>
            </xdr:txBody>
          </xdr:sp>
        </xdr:grpSp>
        <xdr:sp macro="" textlink="">
          <xdr:nvSpPr>
            <xdr:cNvPr id="9" name="TextBox 22">
              <a:extLst>
                <a:ext uri="{FF2B5EF4-FFF2-40B4-BE49-F238E27FC236}">
                  <a16:creationId xmlns:a16="http://schemas.microsoft.com/office/drawing/2014/main" id="{C5C58884-0671-4637-BD6B-06C930EA83B0}"/>
                </a:ext>
              </a:extLst>
            </xdr:cNvPr>
            <xdr:cNvSpPr txBox="1"/>
          </xdr:nvSpPr>
          <xdr:spPr>
            <a:xfrm>
              <a:off x="1482391" y="1176174"/>
              <a:ext cx="2203282" cy="24946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/>
                <a:t>Residual Waste </a:t>
              </a:r>
            </a:p>
          </xdr:txBody>
        </xdr:sp>
        <xdr:sp macro="" textlink="">
          <xdr:nvSpPr>
            <xdr:cNvPr id="10" name="TextBox 23">
              <a:extLst>
                <a:ext uri="{FF2B5EF4-FFF2-40B4-BE49-F238E27FC236}">
                  <a16:creationId xmlns:a16="http://schemas.microsoft.com/office/drawing/2014/main" id="{6B8281F1-2294-49B5-B306-B1B79405F7D6}"/>
                </a:ext>
              </a:extLst>
            </xdr:cNvPr>
            <xdr:cNvSpPr txBox="1"/>
          </xdr:nvSpPr>
          <xdr:spPr>
            <a:xfrm>
              <a:off x="4321800" y="2743654"/>
              <a:ext cx="2203282" cy="3693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/>
                <a:t>Dry Recyclables</a:t>
              </a:r>
            </a:p>
          </xdr:txBody>
        </xdr:sp>
        <xdr:sp macro="" textlink="">
          <xdr:nvSpPr>
            <xdr:cNvPr id="11" name="TextBox 24">
              <a:extLst>
                <a:ext uri="{FF2B5EF4-FFF2-40B4-BE49-F238E27FC236}">
                  <a16:creationId xmlns:a16="http://schemas.microsoft.com/office/drawing/2014/main" id="{91036865-368F-487F-A8B7-EDB44569986C}"/>
                </a:ext>
              </a:extLst>
            </xdr:cNvPr>
            <xdr:cNvSpPr txBox="1"/>
          </xdr:nvSpPr>
          <xdr:spPr>
            <a:xfrm>
              <a:off x="6645819" y="2585487"/>
              <a:ext cx="2203282" cy="3693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/>
                <a:t>Organic Waste</a:t>
              </a:r>
            </a:p>
          </xdr:txBody>
        </xdr:sp>
        <xdr:sp macro="" textlink="">
          <xdr:nvSpPr>
            <xdr:cNvPr id="12" name="TextBox 25">
              <a:extLst>
                <a:ext uri="{FF2B5EF4-FFF2-40B4-BE49-F238E27FC236}">
                  <a16:creationId xmlns:a16="http://schemas.microsoft.com/office/drawing/2014/main" id="{807AE213-5CAE-4B8B-BA13-8E77E1631D75}"/>
                </a:ext>
              </a:extLst>
            </xdr:cNvPr>
            <xdr:cNvSpPr txBox="1"/>
          </xdr:nvSpPr>
          <xdr:spPr>
            <a:xfrm>
              <a:off x="1415289" y="2943227"/>
              <a:ext cx="2203282" cy="25455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AU" sz="1100" kern="1200">
                  <a:solidFill>
                    <a:schemeClr val="bg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      2,218,228 </a:t>
              </a:r>
              <a:r>
                <a:rPr lang="en-GB" sz="1100" kern="1200">
                  <a:solidFill>
                    <a:schemeClr val="bg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r>
                <a:rPr lang="en-GB">
                  <a:solidFill>
                    <a:schemeClr val="bg1"/>
                  </a:solidFill>
                </a:rPr>
                <a:t>million tonnes</a:t>
              </a:r>
            </a:p>
          </xdr:txBody>
        </xdr:sp>
        <xdr:sp macro="" textlink="">
          <xdr:nvSpPr>
            <xdr:cNvPr id="13" name="TextBox 26">
              <a:extLst>
                <a:ext uri="{FF2B5EF4-FFF2-40B4-BE49-F238E27FC236}">
                  <a16:creationId xmlns:a16="http://schemas.microsoft.com/office/drawing/2014/main" id="{FBE324CD-A26F-4EFC-B2CC-1181E90FF9A7}"/>
                </a:ext>
              </a:extLst>
            </xdr:cNvPr>
            <xdr:cNvSpPr txBox="1"/>
          </xdr:nvSpPr>
          <xdr:spPr>
            <a:xfrm>
              <a:off x="4439921" y="3074107"/>
              <a:ext cx="1986090" cy="168025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>
                  <a:solidFill>
                    <a:schemeClr val="bg1"/>
                  </a:solidFill>
                </a:rPr>
                <a:t>              724,364  million </a:t>
              </a:r>
            </a:p>
            <a:p>
              <a:pPr algn="ctr"/>
              <a:r>
                <a:rPr lang="en-GB">
                  <a:solidFill>
                    <a:schemeClr val="bg1"/>
                  </a:solidFill>
                </a:rPr>
                <a:t>tonnes</a:t>
              </a:r>
            </a:p>
            <a:p>
              <a:pPr algn="ctr"/>
              <a:endParaRPr lang="en-GB">
                <a:solidFill>
                  <a:schemeClr val="bg1"/>
                </a:solidFill>
              </a:endParaRPr>
            </a:p>
            <a:p>
              <a:pPr algn="ctr"/>
              <a:r>
                <a:rPr lang="en-GB" baseline="0">
                  <a:solidFill>
                    <a:schemeClr val="bg1"/>
                  </a:solidFill>
                </a:rPr>
                <a:t> plus</a:t>
              </a:r>
            </a:p>
            <a:p>
              <a:pPr algn="ctr"/>
              <a:r>
                <a:rPr lang="en-GB" baseline="0">
                  <a:solidFill>
                    <a:schemeClr val="bg1"/>
                  </a:solidFill>
                </a:rPr>
                <a:t> </a:t>
              </a:r>
              <a:endParaRPr lang="en-GB">
                <a:solidFill>
                  <a:schemeClr val="bg1"/>
                </a:solidFill>
              </a:endParaRPr>
            </a:p>
            <a:p>
              <a:pPr algn="ctr"/>
              <a:r>
                <a:rPr lang="en-GB">
                  <a:solidFill>
                    <a:schemeClr val="bg1"/>
                  </a:solidFill>
                </a:rPr>
                <a:t>CDS</a:t>
              </a:r>
              <a:r>
                <a:rPr lang="en-GB" baseline="0">
                  <a:solidFill>
                    <a:schemeClr val="bg1"/>
                  </a:solidFill>
                </a:rPr>
                <a:t> Containers</a:t>
              </a:r>
            </a:p>
            <a:p>
              <a:pPr algn="ctr"/>
              <a:r>
                <a:rPr lang="en-GB" baseline="0">
                  <a:solidFill>
                    <a:schemeClr val="bg1"/>
                  </a:solidFill>
                </a:rPr>
                <a:t>127,749 million tonnes</a:t>
              </a:r>
            </a:p>
            <a:p>
              <a:pPr algn="ctr"/>
              <a:r>
                <a:rPr lang="en-GB" baseline="0">
                  <a:solidFill>
                    <a:schemeClr val="bg1"/>
                  </a:solidFill>
                </a:rPr>
                <a:t>collected </a:t>
              </a:r>
            </a:p>
            <a:p>
              <a:pPr algn="ctr"/>
              <a:r>
                <a:rPr lang="en-GB" baseline="0">
                  <a:solidFill>
                    <a:schemeClr val="bg1"/>
                  </a:solidFill>
                </a:rPr>
                <a:t>by </a:t>
              </a:r>
            </a:p>
            <a:p>
              <a:pPr algn="ctr"/>
              <a:r>
                <a:rPr lang="en-GB" baseline="0">
                  <a:solidFill>
                    <a:schemeClr val="bg1"/>
                  </a:solidFill>
                </a:rPr>
                <a:t>Return &amp; Earn</a:t>
              </a:r>
              <a:endParaRPr lang="en-GB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14" name="TextBox 27">
              <a:extLst>
                <a:ext uri="{FF2B5EF4-FFF2-40B4-BE49-F238E27FC236}">
                  <a16:creationId xmlns:a16="http://schemas.microsoft.com/office/drawing/2014/main" id="{44A4AF38-EFB5-4E1A-9FA2-AC19A5C05F57}"/>
                </a:ext>
              </a:extLst>
            </xdr:cNvPr>
            <xdr:cNvSpPr txBox="1"/>
          </xdr:nvSpPr>
          <xdr:spPr>
            <a:xfrm>
              <a:off x="6885261" y="3761024"/>
              <a:ext cx="1524431" cy="4084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>
                  <a:solidFill>
                    <a:schemeClr val="bg1"/>
                  </a:solidFill>
                </a:rPr>
                <a:t>         843,622  million </a:t>
              </a:r>
            </a:p>
            <a:p>
              <a:pPr algn="ctr"/>
              <a:r>
                <a:rPr lang="en-GB">
                  <a:solidFill>
                    <a:schemeClr val="bg1"/>
                  </a:solidFill>
                </a:rPr>
                <a:t>tonnes</a:t>
              </a:r>
            </a:p>
          </xdr:txBody>
        </xdr:sp>
      </xdr:grpSp>
      <xdr:sp macro="" textlink="">
        <xdr:nvSpPr>
          <xdr:cNvPr id="5" name="TextBox 30">
            <a:extLst>
              <a:ext uri="{FF2B5EF4-FFF2-40B4-BE49-F238E27FC236}">
                <a16:creationId xmlns:a16="http://schemas.microsoft.com/office/drawing/2014/main" id="{409E8181-40DD-4584-9774-D9FE123AC76F}"/>
              </a:ext>
            </a:extLst>
          </xdr:cNvPr>
          <xdr:cNvSpPr txBox="1"/>
        </xdr:nvSpPr>
        <xdr:spPr>
          <a:xfrm>
            <a:off x="251520" y="332656"/>
            <a:ext cx="6048672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9pPr>
          </a:lstStyle>
          <a:p>
            <a:r>
              <a:rPr lang="en-GB"/>
              <a:t>Total waste collection by stream</a:t>
            </a:r>
          </a:p>
        </xdr:txBody>
      </xdr:sp>
    </xdr:grpSp>
    <xdr:clientData/>
  </xdr:twoCellAnchor>
  <xdr:twoCellAnchor editAs="oneCell">
    <xdr:from>
      <xdr:col>20</xdr:col>
      <xdr:colOff>266700</xdr:colOff>
      <xdr:row>58</xdr:row>
      <xdr:rowOff>72009</xdr:rowOff>
    </xdr:from>
    <xdr:to>
      <xdr:col>22</xdr:col>
      <xdr:colOff>114299</xdr:colOff>
      <xdr:row>62</xdr:row>
      <xdr:rowOff>142875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243D432-CEA0-4315-8382-FFFF6ACE7A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6" t="3566" r="19914" b="69372"/>
        <a:stretch/>
      </xdr:blipFill>
      <xdr:spPr bwMode="auto">
        <a:xfrm>
          <a:off x="14106525" y="9035034"/>
          <a:ext cx="1066799" cy="680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7F90B1C6-DD3B-4587-845A-C5F18D4F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D9947AE2-F5DA-4AED-B62F-CDC30092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B5BF0BF8-B65F-476A-8B88-98F55FDAF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976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A16ED0A7-7DB3-43F1-831A-4DF70840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976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6CC8958C-B9B6-48F7-9348-44B0F692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5F0DF1BC-EBA3-4B16-9F96-F27E6FE25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ED1CB649-5A5C-4321-BDA4-A4381BE7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976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8F97D4C0-3FB3-4572-A340-C12EC044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976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6F0A8171-DC96-451E-9B3B-31A251CB4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608955F5-22AF-4769-92BD-D06E1826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C97FD1CF-D059-4C4A-9255-EF95F3CA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976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38B0CCA2-D733-45A4-AB83-CEEFFEE8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976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554F198C-61F3-41BF-BEC5-1B1DE0AA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B76871AA-E66A-4235-93F7-6AF87A55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6" name="Picture 15" descr="http://www.abs.gov.au/icons/ecblank.gif">
          <a:extLst>
            <a:ext uri="{FF2B5EF4-FFF2-40B4-BE49-F238E27FC236}">
              <a16:creationId xmlns:a16="http://schemas.microsoft.com/office/drawing/2014/main" id="{98201298-3006-4E84-A279-3AD60F6E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7" name="Picture 16" descr="http://www.abs.gov.au/icons/ecblank.gif">
          <a:extLst>
            <a:ext uri="{FF2B5EF4-FFF2-40B4-BE49-F238E27FC236}">
              <a16:creationId xmlns:a16="http://schemas.microsoft.com/office/drawing/2014/main" id="{F7A52613-D6BF-481D-A999-9DF864E6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366C6359-B37E-4077-A37F-BB80E7A4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976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72CE0BB2-C421-4C7C-A794-8B25F9E4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976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EED045DF-BC9B-453F-928C-0CDDAFB6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CBA7F4B9-6C66-485B-B2EB-8F3D9C89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65639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81</xdr:row>
      <xdr:rowOff>0</xdr:rowOff>
    </xdr:from>
    <xdr:to>
      <xdr:col>4</xdr:col>
      <xdr:colOff>0</xdr:colOff>
      <xdr:row>81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8786C966-4DF1-45D6-87EA-8A3FB9922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81</xdr:row>
      <xdr:rowOff>0</xdr:rowOff>
    </xdr:from>
    <xdr:to>
      <xdr:col>4</xdr:col>
      <xdr:colOff>0</xdr:colOff>
      <xdr:row>81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3D841722-A327-4181-AC29-505C31FD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97</xdr:row>
      <xdr:rowOff>0</xdr:rowOff>
    </xdr:from>
    <xdr:to>
      <xdr:col>4</xdr:col>
      <xdr:colOff>0</xdr:colOff>
      <xdr:row>97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C515DE54-B229-49E6-A51E-30C28BA92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6078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97</xdr:row>
      <xdr:rowOff>0</xdr:rowOff>
    </xdr:from>
    <xdr:to>
      <xdr:col>4</xdr:col>
      <xdr:colOff>0</xdr:colOff>
      <xdr:row>97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09CB3ADA-367E-4EFE-88BF-EC02A9449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6078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81</xdr:row>
      <xdr:rowOff>0</xdr:rowOff>
    </xdr:from>
    <xdr:to>
      <xdr:col>4</xdr:col>
      <xdr:colOff>0</xdr:colOff>
      <xdr:row>81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95FEB44C-9195-4178-9C10-21C37D39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81</xdr:row>
      <xdr:rowOff>0</xdr:rowOff>
    </xdr:from>
    <xdr:to>
      <xdr:col>4</xdr:col>
      <xdr:colOff>0</xdr:colOff>
      <xdr:row>81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D3B4CC1C-E5AC-4AA3-9BBF-45021550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97</xdr:row>
      <xdr:rowOff>0</xdr:rowOff>
    </xdr:from>
    <xdr:to>
      <xdr:col>4</xdr:col>
      <xdr:colOff>0</xdr:colOff>
      <xdr:row>97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C6CD5C38-4115-4326-81E6-D7A2B33C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6078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97</xdr:row>
      <xdr:rowOff>0</xdr:rowOff>
    </xdr:from>
    <xdr:to>
      <xdr:col>4</xdr:col>
      <xdr:colOff>0</xdr:colOff>
      <xdr:row>97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CD84CBEF-2620-467F-BBA8-337E234B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6078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81</xdr:row>
      <xdr:rowOff>0</xdr:rowOff>
    </xdr:from>
    <xdr:to>
      <xdr:col>4</xdr:col>
      <xdr:colOff>0</xdr:colOff>
      <xdr:row>81</xdr:row>
      <xdr:rowOff>9525</xdr:rowOff>
    </xdr:to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7E93D9B6-0A11-490A-A091-D5B525E4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81</xdr:row>
      <xdr:rowOff>0</xdr:rowOff>
    </xdr:from>
    <xdr:to>
      <xdr:col>4</xdr:col>
      <xdr:colOff>0</xdr:colOff>
      <xdr:row>81</xdr:row>
      <xdr:rowOff>9525</xdr:rowOff>
    </xdr:to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5A900E31-557A-44F8-B8F8-81E24B029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97</xdr:row>
      <xdr:rowOff>0</xdr:rowOff>
    </xdr:from>
    <xdr:to>
      <xdr:col>4</xdr:col>
      <xdr:colOff>0</xdr:colOff>
      <xdr:row>97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3D380686-4E6E-48AA-8E52-B804FD7A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6078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97</xdr:row>
      <xdr:rowOff>0</xdr:rowOff>
    </xdr:from>
    <xdr:to>
      <xdr:col>4</xdr:col>
      <xdr:colOff>0</xdr:colOff>
      <xdr:row>97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24147D27-A2E2-41C8-87B8-A6CC7C69B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6078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81</xdr:row>
      <xdr:rowOff>0</xdr:rowOff>
    </xdr:from>
    <xdr:to>
      <xdr:col>4</xdr:col>
      <xdr:colOff>0</xdr:colOff>
      <xdr:row>81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DF8F7DB9-D956-42EC-8CF6-92229862F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81</xdr:row>
      <xdr:rowOff>0</xdr:rowOff>
    </xdr:from>
    <xdr:to>
      <xdr:col>4</xdr:col>
      <xdr:colOff>0</xdr:colOff>
      <xdr:row>81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38071606-A607-4415-BF60-BE42FB89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81</xdr:row>
      <xdr:rowOff>0</xdr:rowOff>
    </xdr:from>
    <xdr:to>
      <xdr:col>4</xdr:col>
      <xdr:colOff>0</xdr:colOff>
      <xdr:row>81</xdr:row>
      <xdr:rowOff>9525</xdr:rowOff>
    </xdr:to>
    <xdr:pic>
      <xdr:nvPicPr>
        <xdr:cNvPr id="16" name="Picture 15" descr="http://www.abs.gov.au/icons/ecblank.gif">
          <a:extLst>
            <a:ext uri="{FF2B5EF4-FFF2-40B4-BE49-F238E27FC236}">
              <a16:creationId xmlns:a16="http://schemas.microsoft.com/office/drawing/2014/main" id="{9D56F8E7-3A9F-4752-A614-AF07ABAB8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81</xdr:row>
      <xdr:rowOff>0</xdr:rowOff>
    </xdr:from>
    <xdr:to>
      <xdr:col>4</xdr:col>
      <xdr:colOff>0</xdr:colOff>
      <xdr:row>81</xdr:row>
      <xdr:rowOff>9525</xdr:rowOff>
    </xdr:to>
    <xdr:pic>
      <xdr:nvPicPr>
        <xdr:cNvPr id="17" name="Picture 16" descr="http://www.abs.gov.au/icons/ecblank.gif">
          <a:extLst>
            <a:ext uri="{FF2B5EF4-FFF2-40B4-BE49-F238E27FC236}">
              <a16:creationId xmlns:a16="http://schemas.microsoft.com/office/drawing/2014/main" id="{16E6624E-BAAA-4892-9059-10A2863B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97</xdr:row>
      <xdr:rowOff>0</xdr:rowOff>
    </xdr:from>
    <xdr:to>
      <xdr:col>4</xdr:col>
      <xdr:colOff>0</xdr:colOff>
      <xdr:row>97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2B9D0783-1543-457F-8F57-F516FC31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6078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97</xdr:row>
      <xdr:rowOff>0</xdr:rowOff>
    </xdr:from>
    <xdr:to>
      <xdr:col>4</xdr:col>
      <xdr:colOff>0</xdr:colOff>
      <xdr:row>97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66ADA84A-27C4-421A-B54F-B7BEC111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6078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81</xdr:row>
      <xdr:rowOff>0</xdr:rowOff>
    </xdr:from>
    <xdr:to>
      <xdr:col>4</xdr:col>
      <xdr:colOff>0</xdr:colOff>
      <xdr:row>81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9F9E697C-3736-4730-B32B-4858E592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81</xdr:row>
      <xdr:rowOff>0</xdr:rowOff>
    </xdr:from>
    <xdr:to>
      <xdr:col>4</xdr:col>
      <xdr:colOff>0</xdr:colOff>
      <xdr:row>81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3FC9C6D2-36E3-4519-B3E6-F55DD7A07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487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9525</xdr:rowOff>
    </xdr:to>
    <xdr:pic>
      <xdr:nvPicPr>
        <xdr:cNvPr id="22" name="Picture 39" descr="http://www.abs.gov.au/icons/ecblank.gif">
          <a:extLst>
            <a:ext uri="{FF2B5EF4-FFF2-40B4-BE49-F238E27FC236}">
              <a16:creationId xmlns:a16="http://schemas.microsoft.com/office/drawing/2014/main" id="{0E12C339-53EC-41B8-9121-583CC3CD6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9525</xdr:rowOff>
    </xdr:to>
    <xdr:pic>
      <xdr:nvPicPr>
        <xdr:cNvPr id="23" name="Picture 40" descr="http://www.abs.gov.au/icons/ecblank.gif">
          <a:extLst>
            <a:ext uri="{FF2B5EF4-FFF2-40B4-BE49-F238E27FC236}">
              <a16:creationId xmlns:a16="http://schemas.microsoft.com/office/drawing/2014/main" id="{C297A0F9-874E-4445-8482-4DC665DF2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pic>
      <xdr:nvPicPr>
        <xdr:cNvPr id="24" name="Picture 41" descr="http://www.abs.gov.au/icons/ecblank.gif">
          <a:extLst>
            <a:ext uri="{FF2B5EF4-FFF2-40B4-BE49-F238E27FC236}">
              <a16:creationId xmlns:a16="http://schemas.microsoft.com/office/drawing/2014/main" id="{1AE41531-F34F-4089-A11F-08549A809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pic>
      <xdr:nvPicPr>
        <xdr:cNvPr id="25" name="Picture 42" descr="http://www.abs.gov.au/icons/ecblank.gif">
          <a:extLst>
            <a:ext uri="{FF2B5EF4-FFF2-40B4-BE49-F238E27FC236}">
              <a16:creationId xmlns:a16="http://schemas.microsoft.com/office/drawing/2014/main" id="{85FE61C1-D5B3-4ACD-A550-EE6EEC9E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9525</xdr:rowOff>
    </xdr:to>
    <xdr:pic>
      <xdr:nvPicPr>
        <xdr:cNvPr id="26" name="Picture 43" descr="http://www.abs.gov.au/icons/ecblank.gif">
          <a:extLst>
            <a:ext uri="{FF2B5EF4-FFF2-40B4-BE49-F238E27FC236}">
              <a16:creationId xmlns:a16="http://schemas.microsoft.com/office/drawing/2014/main" id="{D785CDA4-4D5D-4D69-B5FC-2532862C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9525</xdr:rowOff>
    </xdr:to>
    <xdr:pic>
      <xdr:nvPicPr>
        <xdr:cNvPr id="27" name="Picture 44" descr="http://www.abs.gov.au/icons/ecblank.gif">
          <a:extLst>
            <a:ext uri="{FF2B5EF4-FFF2-40B4-BE49-F238E27FC236}">
              <a16:creationId xmlns:a16="http://schemas.microsoft.com/office/drawing/2014/main" id="{253553E8-224C-4029-92CF-9FA3E5DBF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pic>
      <xdr:nvPicPr>
        <xdr:cNvPr id="28" name="Picture 45" descr="http://www.abs.gov.au/icons/ecblank.gif">
          <a:extLst>
            <a:ext uri="{FF2B5EF4-FFF2-40B4-BE49-F238E27FC236}">
              <a16:creationId xmlns:a16="http://schemas.microsoft.com/office/drawing/2014/main" id="{1AC6BA88-28EC-472E-9D73-67AC91D4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pic>
      <xdr:nvPicPr>
        <xdr:cNvPr id="29" name="Picture 46" descr="http://www.abs.gov.au/icons/ecblank.gif">
          <a:extLst>
            <a:ext uri="{FF2B5EF4-FFF2-40B4-BE49-F238E27FC236}">
              <a16:creationId xmlns:a16="http://schemas.microsoft.com/office/drawing/2014/main" id="{7EC5B2C5-63CB-4D3C-ADC6-89B69C36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9525</xdr:rowOff>
    </xdr:to>
    <xdr:pic>
      <xdr:nvPicPr>
        <xdr:cNvPr id="30" name="Picture 47" descr="http://www.abs.gov.au/icons/ecblank.gif">
          <a:extLst>
            <a:ext uri="{FF2B5EF4-FFF2-40B4-BE49-F238E27FC236}">
              <a16:creationId xmlns:a16="http://schemas.microsoft.com/office/drawing/2014/main" id="{4E88EE2D-7AAF-4F7E-BC3C-22DA528E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9525</xdr:rowOff>
    </xdr:to>
    <xdr:pic>
      <xdr:nvPicPr>
        <xdr:cNvPr id="31" name="Picture 48" descr="http://www.abs.gov.au/icons/ecblank.gif">
          <a:extLst>
            <a:ext uri="{FF2B5EF4-FFF2-40B4-BE49-F238E27FC236}">
              <a16:creationId xmlns:a16="http://schemas.microsoft.com/office/drawing/2014/main" id="{C8B6584B-B5AA-49CE-A344-7B314C45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pic>
      <xdr:nvPicPr>
        <xdr:cNvPr id="32" name="Picture 49" descr="http://www.abs.gov.au/icons/ecblank.gif">
          <a:extLst>
            <a:ext uri="{FF2B5EF4-FFF2-40B4-BE49-F238E27FC236}">
              <a16:creationId xmlns:a16="http://schemas.microsoft.com/office/drawing/2014/main" id="{4795D6C4-A904-488A-B0A8-71B82B76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pic>
      <xdr:nvPicPr>
        <xdr:cNvPr id="33" name="Picture 50" descr="http://www.abs.gov.au/icons/ecblank.gif">
          <a:extLst>
            <a:ext uri="{FF2B5EF4-FFF2-40B4-BE49-F238E27FC236}">
              <a16:creationId xmlns:a16="http://schemas.microsoft.com/office/drawing/2014/main" id="{6B69B4CE-E99E-4505-AAE1-2E124B90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9525</xdr:rowOff>
    </xdr:to>
    <xdr:pic>
      <xdr:nvPicPr>
        <xdr:cNvPr id="34" name="Picture 51" descr="http://www.abs.gov.au/icons/ecblank.gif">
          <a:extLst>
            <a:ext uri="{FF2B5EF4-FFF2-40B4-BE49-F238E27FC236}">
              <a16:creationId xmlns:a16="http://schemas.microsoft.com/office/drawing/2014/main" id="{4DA78933-CCC5-4E19-94B5-5784646F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9525</xdr:rowOff>
    </xdr:to>
    <xdr:pic>
      <xdr:nvPicPr>
        <xdr:cNvPr id="35" name="Picture 52" descr="http://www.abs.gov.au/icons/ecblank.gif">
          <a:extLst>
            <a:ext uri="{FF2B5EF4-FFF2-40B4-BE49-F238E27FC236}">
              <a16:creationId xmlns:a16="http://schemas.microsoft.com/office/drawing/2014/main" id="{8B2AB716-A76A-46D1-8CE0-972FA4CA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9525</xdr:rowOff>
    </xdr:to>
    <xdr:pic>
      <xdr:nvPicPr>
        <xdr:cNvPr id="36" name="Picture 53" descr="http://www.abs.gov.au/icons/ecblank.gif">
          <a:extLst>
            <a:ext uri="{FF2B5EF4-FFF2-40B4-BE49-F238E27FC236}">
              <a16:creationId xmlns:a16="http://schemas.microsoft.com/office/drawing/2014/main" id="{C738B2A3-26E7-40DE-BF1A-97A8CEAF7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9525</xdr:rowOff>
    </xdr:to>
    <xdr:pic>
      <xdr:nvPicPr>
        <xdr:cNvPr id="37" name="Picture 54" descr="http://www.abs.gov.au/icons/ecblank.gif">
          <a:extLst>
            <a:ext uri="{FF2B5EF4-FFF2-40B4-BE49-F238E27FC236}">
              <a16:creationId xmlns:a16="http://schemas.microsoft.com/office/drawing/2014/main" id="{30C38CAB-314B-40C5-8545-A4544EBA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pic>
      <xdr:nvPicPr>
        <xdr:cNvPr id="38" name="Picture 55" descr="http://www.abs.gov.au/icons/ecblank.gif">
          <a:extLst>
            <a:ext uri="{FF2B5EF4-FFF2-40B4-BE49-F238E27FC236}">
              <a16:creationId xmlns:a16="http://schemas.microsoft.com/office/drawing/2014/main" id="{42264A17-3716-4822-AD78-131ECB3C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pic>
      <xdr:nvPicPr>
        <xdr:cNvPr id="39" name="Picture 56" descr="http://www.abs.gov.au/icons/ecblank.gif">
          <a:extLst>
            <a:ext uri="{FF2B5EF4-FFF2-40B4-BE49-F238E27FC236}">
              <a16:creationId xmlns:a16="http://schemas.microsoft.com/office/drawing/2014/main" id="{EDECB8F9-A4CF-4051-AC4B-C821569D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9525</xdr:rowOff>
    </xdr:to>
    <xdr:pic>
      <xdr:nvPicPr>
        <xdr:cNvPr id="40" name="Picture 57" descr="http://www.abs.gov.au/icons/ecblank.gif">
          <a:extLst>
            <a:ext uri="{FF2B5EF4-FFF2-40B4-BE49-F238E27FC236}">
              <a16:creationId xmlns:a16="http://schemas.microsoft.com/office/drawing/2014/main" id="{4375E507-DE6F-40EF-910D-B5B8C2D9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9525</xdr:rowOff>
    </xdr:to>
    <xdr:pic>
      <xdr:nvPicPr>
        <xdr:cNvPr id="41" name="Picture 58" descr="http://www.abs.gov.au/icons/ecblank.gif">
          <a:extLst>
            <a:ext uri="{FF2B5EF4-FFF2-40B4-BE49-F238E27FC236}">
              <a16:creationId xmlns:a16="http://schemas.microsoft.com/office/drawing/2014/main" id="{A9E87A56-9B92-40D8-97DF-615BFE54E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20175" y="32861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D3FBE32C-DAD2-478B-AFD8-B5C01A4E9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4481D56F-4E17-4643-A830-741BE65E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98207330-0602-4BB0-9FAB-1FCB1340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DFA1DF6A-0709-4C9B-A43C-E4830B83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FE9E9AF2-7CA3-4582-BF8D-5EA0DFDC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8357A326-9B3E-4272-8CAF-7867DA8BC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B4E94FF6-1CC9-496E-A4B0-F0DC94EF6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E1B33619-61FA-443D-A432-2FC4567C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629EF6F4-2889-481E-B8A4-16FE2C80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8A8E44D2-DCFC-428B-9DF5-3CA5D918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A7FDDC37-5157-4B00-AFEE-D44111F53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CD1142F9-F6AC-4049-9CE9-A57D0097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0B5592ED-716A-4D1A-8EA3-474751BF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EAF279E4-5B58-435A-97A0-5D6D5A6E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6" name="Picture 15" descr="http://www.abs.gov.au/icons/ecblank.gif">
          <a:extLst>
            <a:ext uri="{FF2B5EF4-FFF2-40B4-BE49-F238E27FC236}">
              <a16:creationId xmlns:a16="http://schemas.microsoft.com/office/drawing/2014/main" id="{CF3AA9C6-5FCF-41B3-958B-2D19AAF6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7" name="Picture 16" descr="http://www.abs.gov.au/icons/ecblank.gif">
          <a:extLst>
            <a:ext uri="{FF2B5EF4-FFF2-40B4-BE49-F238E27FC236}">
              <a16:creationId xmlns:a16="http://schemas.microsoft.com/office/drawing/2014/main" id="{87FDF24E-5650-47CA-BC9D-762FE4ED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993193D4-3717-424B-B5D1-9EFFC3D1D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89E42C65-EF08-4C38-B510-47D574C9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28B42ADB-8E7D-4D0F-8A8B-E88A30EB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78190260-6661-41A4-86D8-F9807461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22" name="Picture 39" descr="http://www.abs.gov.au/icons/ecblank.gif">
          <a:extLst>
            <a:ext uri="{FF2B5EF4-FFF2-40B4-BE49-F238E27FC236}">
              <a16:creationId xmlns:a16="http://schemas.microsoft.com/office/drawing/2014/main" id="{63252E69-9D1D-484A-B9BB-6714D02C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23" name="Picture 40" descr="http://www.abs.gov.au/icons/ecblank.gif">
          <a:extLst>
            <a:ext uri="{FF2B5EF4-FFF2-40B4-BE49-F238E27FC236}">
              <a16:creationId xmlns:a16="http://schemas.microsoft.com/office/drawing/2014/main" id="{58345D96-E73A-421E-9FC3-F036E98C0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24" name="Picture 41" descr="http://www.abs.gov.au/icons/ecblank.gif">
          <a:extLst>
            <a:ext uri="{FF2B5EF4-FFF2-40B4-BE49-F238E27FC236}">
              <a16:creationId xmlns:a16="http://schemas.microsoft.com/office/drawing/2014/main" id="{9BE56D29-61B7-4C19-92B4-3F34EE4F9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25" name="Picture 42" descr="http://www.abs.gov.au/icons/ecblank.gif">
          <a:extLst>
            <a:ext uri="{FF2B5EF4-FFF2-40B4-BE49-F238E27FC236}">
              <a16:creationId xmlns:a16="http://schemas.microsoft.com/office/drawing/2014/main" id="{AF6D5D55-3BF5-482E-8F7C-7F526D6C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26" name="Picture 43" descr="http://www.abs.gov.au/icons/ecblank.gif">
          <a:extLst>
            <a:ext uri="{FF2B5EF4-FFF2-40B4-BE49-F238E27FC236}">
              <a16:creationId xmlns:a16="http://schemas.microsoft.com/office/drawing/2014/main" id="{E7E25D3F-B70C-47C5-97B6-669C3B7C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27" name="Picture 44" descr="http://www.abs.gov.au/icons/ecblank.gif">
          <a:extLst>
            <a:ext uri="{FF2B5EF4-FFF2-40B4-BE49-F238E27FC236}">
              <a16:creationId xmlns:a16="http://schemas.microsoft.com/office/drawing/2014/main" id="{FEE9239A-F133-484E-91A6-1CE176A2F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28" name="Picture 45" descr="http://www.abs.gov.au/icons/ecblank.gif">
          <a:extLst>
            <a:ext uri="{FF2B5EF4-FFF2-40B4-BE49-F238E27FC236}">
              <a16:creationId xmlns:a16="http://schemas.microsoft.com/office/drawing/2014/main" id="{44FE66B4-45DA-48B8-846F-2677F861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29" name="Picture 46" descr="http://www.abs.gov.au/icons/ecblank.gif">
          <a:extLst>
            <a:ext uri="{FF2B5EF4-FFF2-40B4-BE49-F238E27FC236}">
              <a16:creationId xmlns:a16="http://schemas.microsoft.com/office/drawing/2014/main" id="{0932293E-0B8C-4AE7-AA9D-D33A6E8E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0" name="Picture 47" descr="http://www.abs.gov.au/icons/ecblank.gif">
          <a:extLst>
            <a:ext uri="{FF2B5EF4-FFF2-40B4-BE49-F238E27FC236}">
              <a16:creationId xmlns:a16="http://schemas.microsoft.com/office/drawing/2014/main" id="{B21453A5-E303-4B94-8928-57826231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1" name="Picture 48" descr="http://www.abs.gov.au/icons/ecblank.gif">
          <a:extLst>
            <a:ext uri="{FF2B5EF4-FFF2-40B4-BE49-F238E27FC236}">
              <a16:creationId xmlns:a16="http://schemas.microsoft.com/office/drawing/2014/main" id="{90DF6855-720E-46D9-9739-83002CA5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32" name="Picture 49" descr="http://www.abs.gov.au/icons/ecblank.gif">
          <a:extLst>
            <a:ext uri="{FF2B5EF4-FFF2-40B4-BE49-F238E27FC236}">
              <a16:creationId xmlns:a16="http://schemas.microsoft.com/office/drawing/2014/main" id="{AFDE3D44-C7F1-40AD-B2F2-2EB24674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33" name="Picture 50" descr="http://www.abs.gov.au/icons/ecblank.gif">
          <a:extLst>
            <a:ext uri="{FF2B5EF4-FFF2-40B4-BE49-F238E27FC236}">
              <a16:creationId xmlns:a16="http://schemas.microsoft.com/office/drawing/2014/main" id="{EC522D45-795A-4E75-96CF-D743CD9C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4" name="Picture 51" descr="http://www.abs.gov.au/icons/ecblank.gif">
          <a:extLst>
            <a:ext uri="{FF2B5EF4-FFF2-40B4-BE49-F238E27FC236}">
              <a16:creationId xmlns:a16="http://schemas.microsoft.com/office/drawing/2014/main" id="{294F4695-34DC-4F39-AB27-8EE3AB260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5" name="Picture 52" descr="http://www.abs.gov.au/icons/ecblank.gif">
          <a:extLst>
            <a:ext uri="{FF2B5EF4-FFF2-40B4-BE49-F238E27FC236}">
              <a16:creationId xmlns:a16="http://schemas.microsoft.com/office/drawing/2014/main" id="{3982351B-AFB1-4862-886F-2B4581F2D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6" name="Picture 53" descr="http://www.abs.gov.au/icons/ecblank.gif">
          <a:extLst>
            <a:ext uri="{FF2B5EF4-FFF2-40B4-BE49-F238E27FC236}">
              <a16:creationId xmlns:a16="http://schemas.microsoft.com/office/drawing/2014/main" id="{BFA71D1D-85A8-4386-9CBD-9F0D5B1E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37" name="Picture 54" descr="http://www.abs.gov.au/icons/ecblank.gif">
          <a:extLst>
            <a:ext uri="{FF2B5EF4-FFF2-40B4-BE49-F238E27FC236}">
              <a16:creationId xmlns:a16="http://schemas.microsoft.com/office/drawing/2014/main" id="{BFD110F1-40B9-49CD-91B9-E0DC4D46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38" name="Picture 55" descr="http://www.abs.gov.au/icons/ecblank.gif">
          <a:extLst>
            <a:ext uri="{FF2B5EF4-FFF2-40B4-BE49-F238E27FC236}">
              <a16:creationId xmlns:a16="http://schemas.microsoft.com/office/drawing/2014/main" id="{B7C0A891-B2F7-4923-854E-F8536B9E5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39" name="Picture 56" descr="http://www.abs.gov.au/icons/ecblank.gif">
          <a:extLst>
            <a:ext uri="{FF2B5EF4-FFF2-40B4-BE49-F238E27FC236}">
              <a16:creationId xmlns:a16="http://schemas.microsoft.com/office/drawing/2014/main" id="{7266339B-4A03-4F4C-B66A-8BBE2316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40" name="Picture 57" descr="http://www.abs.gov.au/icons/ecblank.gif">
          <a:extLst>
            <a:ext uri="{FF2B5EF4-FFF2-40B4-BE49-F238E27FC236}">
              <a16:creationId xmlns:a16="http://schemas.microsoft.com/office/drawing/2014/main" id="{AF841EFB-99F9-4345-A071-3D0DE0AF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41" name="Picture 58" descr="http://www.abs.gov.au/icons/ecblank.gif">
          <a:extLst>
            <a:ext uri="{FF2B5EF4-FFF2-40B4-BE49-F238E27FC236}">
              <a16:creationId xmlns:a16="http://schemas.microsoft.com/office/drawing/2014/main" id="{FCF1136B-B484-4B9F-A088-1F469E78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42" name="Picture 41" descr="http://www.abs.gov.au/icons/ecblank.gif">
          <a:extLst>
            <a:ext uri="{FF2B5EF4-FFF2-40B4-BE49-F238E27FC236}">
              <a16:creationId xmlns:a16="http://schemas.microsoft.com/office/drawing/2014/main" id="{C0129A03-8753-4C53-9A9F-C8B83FAB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43" name="Picture 42" descr="http://www.abs.gov.au/icons/ecblank.gif">
          <a:extLst>
            <a:ext uri="{FF2B5EF4-FFF2-40B4-BE49-F238E27FC236}">
              <a16:creationId xmlns:a16="http://schemas.microsoft.com/office/drawing/2014/main" id="{92812F1E-2DDE-48B6-97F2-99F6A406F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4" name="Picture 43" descr="http://www.abs.gov.au/icons/ecblank.gif">
          <a:extLst>
            <a:ext uri="{FF2B5EF4-FFF2-40B4-BE49-F238E27FC236}">
              <a16:creationId xmlns:a16="http://schemas.microsoft.com/office/drawing/2014/main" id="{5023DFDD-3EE0-4574-A21F-B9180E0B9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5" name="Picture 44" descr="http://www.abs.gov.au/icons/ecblank.gif">
          <a:extLst>
            <a:ext uri="{FF2B5EF4-FFF2-40B4-BE49-F238E27FC236}">
              <a16:creationId xmlns:a16="http://schemas.microsoft.com/office/drawing/2014/main" id="{C46BA218-1856-47E2-92CC-0D414001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46" name="Picture 45" descr="http://www.abs.gov.au/icons/ecblank.gif">
          <a:extLst>
            <a:ext uri="{FF2B5EF4-FFF2-40B4-BE49-F238E27FC236}">
              <a16:creationId xmlns:a16="http://schemas.microsoft.com/office/drawing/2014/main" id="{091BDC0F-465C-4465-805E-AE30F3CB3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47" name="Picture 46" descr="http://www.abs.gov.au/icons/ecblank.gif">
          <a:extLst>
            <a:ext uri="{FF2B5EF4-FFF2-40B4-BE49-F238E27FC236}">
              <a16:creationId xmlns:a16="http://schemas.microsoft.com/office/drawing/2014/main" id="{083C9583-937D-47AE-AE94-BCB856CD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8" name="Picture 47" descr="http://www.abs.gov.au/icons/ecblank.gif">
          <a:extLst>
            <a:ext uri="{FF2B5EF4-FFF2-40B4-BE49-F238E27FC236}">
              <a16:creationId xmlns:a16="http://schemas.microsoft.com/office/drawing/2014/main" id="{226D392D-5A57-4C58-8A40-3608C899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9" name="Picture 48" descr="http://www.abs.gov.au/icons/ecblank.gif">
          <a:extLst>
            <a:ext uri="{FF2B5EF4-FFF2-40B4-BE49-F238E27FC236}">
              <a16:creationId xmlns:a16="http://schemas.microsoft.com/office/drawing/2014/main" id="{EC050AED-275C-4072-8254-63FE8210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0" name="Picture 49" descr="http://www.abs.gov.au/icons/ecblank.gif">
          <a:extLst>
            <a:ext uri="{FF2B5EF4-FFF2-40B4-BE49-F238E27FC236}">
              <a16:creationId xmlns:a16="http://schemas.microsoft.com/office/drawing/2014/main" id="{A1569E46-401A-42CC-BF4A-E418C37E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1" name="Picture 50" descr="http://www.abs.gov.au/icons/ecblank.gif">
          <a:extLst>
            <a:ext uri="{FF2B5EF4-FFF2-40B4-BE49-F238E27FC236}">
              <a16:creationId xmlns:a16="http://schemas.microsoft.com/office/drawing/2014/main" id="{098345C6-4EEB-4A68-ACA0-72085F6E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2" name="Picture 51" descr="http://www.abs.gov.au/icons/ecblank.gif">
          <a:extLst>
            <a:ext uri="{FF2B5EF4-FFF2-40B4-BE49-F238E27FC236}">
              <a16:creationId xmlns:a16="http://schemas.microsoft.com/office/drawing/2014/main" id="{1CC925A4-7B96-4DF1-B552-19BBDA69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3" name="Picture 52" descr="http://www.abs.gov.au/icons/ecblank.gif">
          <a:extLst>
            <a:ext uri="{FF2B5EF4-FFF2-40B4-BE49-F238E27FC236}">
              <a16:creationId xmlns:a16="http://schemas.microsoft.com/office/drawing/2014/main" id="{83650E98-4A62-403C-9AE8-9C7DED7D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4" name="Picture 53" descr="http://www.abs.gov.au/icons/ecblank.gif">
          <a:extLst>
            <a:ext uri="{FF2B5EF4-FFF2-40B4-BE49-F238E27FC236}">
              <a16:creationId xmlns:a16="http://schemas.microsoft.com/office/drawing/2014/main" id="{603683D5-9D8A-4201-B9D5-607B36A4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5" name="Picture 54" descr="http://www.abs.gov.au/icons/ecblank.gif">
          <a:extLst>
            <a:ext uri="{FF2B5EF4-FFF2-40B4-BE49-F238E27FC236}">
              <a16:creationId xmlns:a16="http://schemas.microsoft.com/office/drawing/2014/main" id="{B357DB7E-2986-4DAF-81A5-A78353C9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6" name="Picture 55" descr="http://www.abs.gov.au/icons/ecblank.gif">
          <a:extLst>
            <a:ext uri="{FF2B5EF4-FFF2-40B4-BE49-F238E27FC236}">
              <a16:creationId xmlns:a16="http://schemas.microsoft.com/office/drawing/2014/main" id="{0D7BCFD1-CA61-4C72-8E4E-AE990CD43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7" name="Picture 56" descr="http://www.abs.gov.au/icons/ecblank.gif">
          <a:extLst>
            <a:ext uri="{FF2B5EF4-FFF2-40B4-BE49-F238E27FC236}">
              <a16:creationId xmlns:a16="http://schemas.microsoft.com/office/drawing/2014/main" id="{C8B5109B-69BE-4A0F-B8B3-2FBC4A543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8" name="Picture 57" descr="http://www.abs.gov.au/icons/ecblank.gif">
          <a:extLst>
            <a:ext uri="{FF2B5EF4-FFF2-40B4-BE49-F238E27FC236}">
              <a16:creationId xmlns:a16="http://schemas.microsoft.com/office/drawing/2014/main" id="{E18D2A77-4706-4C1A-91A0-4452EF7E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9" name="Picture 58" descr="http://www.abs.gov.au/icons/ecblank.gif">
          <a:extLst>
            <a:ext uri="{FF2B5EF4-FFF2-40B4-BE49-F238E27FC236}">
              <a16:creationId xmlns:a16="http://schemas.microsoft.com/office/drawing/2014/main" id="{3B0965E8-9A00-423D-B777-3D118733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60" name="Picture 59" descr="http://www.abs.gov.au/icons/ecblank.gif">
          <a:extLst>
            <a:ext uri="{FF2B5EF4-FFF2-40B4-BE49-F238E27FC236}">
              <a16:creationId xmlns:a16="http://schemas.microsoft.com/office/drawing/2014/main" id="{4EC46EC2-9AEE-4440-93C9-2FEDFADE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61" name="Picture 60" descr="http://www.abs.gov.au/icons/ecblank.gif">
          <a:extLst>
            <a:ext uri="{FF2B5EF4-FFF2-40B4-BE49-F238E27FC236}">
              <a16:creationId xmlns:a16="http://schemas.microsoft.com/office/drawing/2014/main" id="{EE3EA57F-951F-4A47-A68F-51504185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47662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62" name="Picture 39" descr="http://www.abs.gov.au/icons/ecblank.gif">
          <a:extLst>
            <a:ext uri="{FF2B5EF4-FFF2-40B4-BE49-F238E27FC236}">
              <a16:creationId xmlns:a16="http://schemas.microsoft.com/office/drawing/2014/main" id="{4C538FB3-65AD-4F6C-92F7-64B4E5D54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63" name="Picture 40" descr="http://www.abs.gov.au/icons/ecblank.gif">
          <a:extLst>
            <a:ext uri="{FF2B5EF4-FFF2-40B4-BE49-F238E27FC236}">
              <a16:creationId xmlns:a16="http://schemas.microsoft.com/office/drawing/2014/main" id="{DDF9E8B6-B078-4E48-A07E-C0C664246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64" name="Picture 41" descr="http://www.abs.gov.au/icons/ecblank.gif">
          <a:extLst>
            <a:ext uri="{FF2B5EF4-FFF2-40B4-BE49-F238E27FC236}">
              <a16:creationId xmlns:a16="http://schemas.microsoft.com/office/drawing/2014/main" id="{708115EF-D383-4371-A4D8-A230C22B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65" name="Picture 42" descr="http://www.abs.gov.au/icons/ecblank.gif">
          <a:extLst>
            <a:ext uri="{FF2B5EF4-FFF2-40B4-BE49-F238E27FC236}">
              <a16:creationId xmlns:a16="http://schemas.microsoft.com/office/drawing/2014/main" id="{C55506FB-C4D2-42FE-9A82-BEB99D24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66" name="Picture 43" descr="http://www.abs.gov.au/icons/ecblank.gif">
          <a:extLst>
            <a:ext uri="{FF2B5EF4-FFF2-40B4-BE49-F238E27FC236}">
              <a16:creationId xmlns:a16="http://schemas.microsoft.com/office/drawing/2014/main" id="{141A843F-AFFB-4325-B80B-94240FBC7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67" name="Picture 44" descr="http://www.abs.gov.au/icons/ecblank.gif">
          <a:extLst>
            <a:ext uri="{FF2B5EF4-FFF2-40B4-BE49-F238E27FC236}">
              <a16:creationId xmlns:a16="http://schemas.microsoft.com/office/drawing/2014/main" id="{8EDA3902-216A-4E82-8F53-C5A576B7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68" name="Picture 45" descr="http://www.abs.gov.au/icons/ecblank.gif">
          <a:extLst>
            <a:ext uri="{FF2B5EF4-FFF2-40B4-BE49-F238E27FC236}">
              <a16:creationId xmlns:a16="http://schemas.microsoft.com/office/drawing/2014/main" id="{28D49B90-FA0B-4D5D-8A1F-79D5E7BE6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69" name="Picture 46" descr="http://www.abs.gov.au/icons/ecblank.gif">
          <a:extLst>
            <a:ext uri="{FF2B5EF4-FFF2-40B4-BE49-F238E27FC236}">
              <a16:creationId xmlns:a16="http://schemas.microsoft.com/office/drawing/2014/main" id="{5E3B1238-B324-4F9F-8BE0-3DE243E66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70" name="Picture 47" descr="http://www.abs.gov.au/icons/ecblank.gif">
          <a:extLst>
            <a:ext uri="{FF2B5EF4-FFF2-40B4-BE49-F238E27FC236}">
              <a16:creationId xmlns:a16="http://schemas.microsoft.com/office/drawing/2014/main" id="{EE5F3A6B-B82C-4FCE-82BE-64698D9E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71" name="Picture 48" descr="http://www.abs.gov.au/icons/ecblank.gif">
          <a:extLst>
            <a:ext uri="{FF2B5EF4-FFF2-40B4-BE49-F238E27FC236}">
              <a16:creationId xmlns:a16="http://schemas.microsoft.com/office/drawing/2014/main" id="{DACD7040-8447-40D1-9CF7-F01134B0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72" name="Picture 49" descr="http://www.abs.gov.au/icons/ecblank.gif">
          <a:extLst>
            <a:ext uri="{FF2B5EF4-FFF2-40B4-BE49-F238E27FC236}">
              <a16:creationId xmlns:a16="http://schemas.microsoft.com/office/drawing/2014/main" id="{FDE6A517-BF85-4AE8-8403-A1DC497E1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73" name="Picture 50" descr="http://www.abs.gov.au/icons/ecblank.gif">
          <a:extLst>
            <a:ext uri="{FF2B5EF4-FFF2-40B4-BE49-F238E27FC236}">
              <a16:creationId xmlns:a16="http://schemas.microsoft.com/office/drawing/2014/main" id="{765E7A05-020C-4560-B60E-2691B30C9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74" name="Picture 51" descr="http://www.abs.gov.au/icons/ecblank.gif">
          <a:extLst>
            <a:ext uri="{FF2B5EF4-FFF2-40B4-BE49-F238E27FC236}">
              <a16:creationId xmlns:a16="http://schemas.microsoft.com/office/drawing/2014/main" id="{C8F97A01-DECE-44D9-ADC8-1484618D7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75" name="Picture 52" descr="http://www.abs.gov.au/icons/ecblank.gif">
          <a:extLst>
            <a:ext uri="{FF2B5EF4-FFF2-40B4-BE49-F238E27FC236}">
              <a16:creationId xmlns:a16="http://schemas.microsoft.com/office/drawing/2014/main" id="{326EE6F6-F4B9-49F7-9DBA-7A143DA47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76" name="Picture 53" descr="http://www.abs.gov.au/icons/ecblank.gif">
          <a:extLst>
            <a:ext uri="{FF2B5EF4-FFF2-40B4-BE49-F238E27FC236}">
              <a16:creationId xmlns:a16="http://schemas.microsoft.com/office/drawing/2014/main" id="{6B8560AF-9708-4D30-9F41-D62D42AC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77" name="Picture 54" descr="http://www.abs.gov.au/icons/ecblank.gif">
          <a:extLst>
            <a:ext uri="{FF2B5EF4-FFF2-40B4-BE49-F238E27FC236}">
              <a16:creationId xmlns:a16="http://schemas.microsoft.com/office/drawing/2014/main" id="{B02B3183-95BC-42B1-98D4-4B3BE415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78" name="Picture 55" descr="http://www.abs.gov.au/icons/ecblank.gif">
          <a:extLst>
            <a:ext uri="{FF2B5EF4-FFF2-40B4-BE49-F238E27FC236}">
              <a16:creationId xmlns:a16="http://schemas.microsoft.com/office/drawing/2014/main" id="{9A8F9BC6-C667-4A03-B3A6-840FFE9D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pic>
      <xdr:nvPicPr>
        <xdr:cNvPr id="79" name="Picture 56" descr="http://www.abs.gov.au/icons/ecblank.gif">
          <a:extLst>
            <a:ext uri="{FF2B5EF4-FFF2-40B4-BE49-F238E27FC236}">
              <a16:creationId xmlns:a16="http://schemas.microsoft.com/office/drawing/2014/main" id="{A00D787A-E940-45CA-B32F-5784B24BD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80" name="Picture 57" descr="http://www.abs.gov.au/icons/ecblank.gif">
          <a:extLst>
            <a:ext uri="{FF2B5EF4-FFF2-40B4-BE49-F238E27FC236}">
              <a16:creationId xmlns:a16="http://schemas.microsoft.com/office/drawing/2014/main" id="{AA9973B5-1E81-4656-AFBC-23A32D41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17</xdr:row>
      <xdr:rowOff>9525</xdr:rowOff>
    </xdr:to>
    <xdr:pic>
      <xdr:nvPicPr>
        <xdr:cNvPr id="81" name="Picture 58" descr="http://www.abs.gov.au/icons/ecblank.gif">
          <a:extLst>
            <a:ext uri="{FF2B5EF4-FFF2-40B4-BE49-F238E27FC236}">
              <a16:creationId xmlns:a16="http://schemas.microsoft.com/office/drawing/2014/main" id="{4E1BE6F2-589F-4D29-97C9-67CFF1F5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896350" y="3133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797ED346-4C75-417B-9FFD-3FEC6A9E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04A7CAB5-027F-4737-A551-72176D55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2A1BA404-DBA1-4EB1-A189-8109B30E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565D2768-A35C-47A4-BC75-7E122AEB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8541F77C-49C1-462F-9336-D4C647A4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87605A01-14F5-4FE9-9FDF-CBE90192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A494F4B6-5B79-4D24-B795-EEDEF1F3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E8F4E15A-0D28-4336-AF3A-5C578DC8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E10B610E-5192-41F7-B42D-11D284F9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A695BA4E-C1C2-4747-A40F-D95FCB1E8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8BFF5234-A145-48FE-9404-611A3FA6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45038E2B-07FD-4EB0-9A6E-56296D8F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8F161A03-9609-429B-88D0-23C2A07F8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96A8B604-4A87-4842-A417-4C966EDC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6" name="Picture 15" descr="http://www.abs.gov.au/icons/ecblank.gif">
          <a:extLst>
            <a:ext uri="{FF2B5EF4-FFF2-40B4-BE49-F238E27FC236}">
              <a16:creationId xmlns:a16="http://schemas.microsoft.com/office/drawing/2014/main" id="{8A499D52-7C1D-4635-9E47-F7D78EF7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17" name="Picture 16" descr="http://www.abs.gov.au/icons/ecblank.gif">
          <a:extLst>
            <a:ext uri="{FF2B5EF4-FFF2-40B4-BE49-F238E27FC236}">
              <a16:creationId xmlns:a16="http://schemas.microsoft.com/office/drawing/2014/main" id="{F57EB28F-01DE-4A2D-9A12-B09CB4E7E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C0955F4E-68DF-4C22-8756-352E03DB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5EE07AC2-9D1C-4CE7-8E72-66BF4A19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55AFC339-8639-429F-A853-208FD4AD8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51A787A4-E6EE-4AB4-BF2E-89B713D55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22" name="Picture 39" descr="http://www.abs.gov.au/icons/ecblank.gif">
          <a:extLst>
            <a:ext uri="{FF2B5EF4-FFF2-40B4-BE49-F238E27FC236}">
              <a16:creationId xmlns:a16="http://schemas.microsoft.com/office/drawing/2014/main" id="{1BE6E06A-3645-4A41-8E5F-465BD3DE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23" name="Picture 40" descr="http://www.abs.gov.au/icons/ecblank.gif">
          <a:extLst>
            <a:ext uri="{FF2B5EF4-FFF2-40B4-BE49-F238E27FC236}">
              <a16:creationId xmlns:a16="http://schemas.microsoft.com/office/drawing/2014/main" id="{58557CC9-E516-4616-943E-1373A03C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0</xdr:colOff>
      <xdr:row>37</xdr:row>
      <xdr:rowOff>0</xdr:rowOff>
    </xdr:to>
    <xdr:pic>
      <xdr:nvPicPr>
        <xdr:cNvPr id="24" name="Picture 41" descr="http://www.abs.gov.au/icons/ecblank.gif">
          <a:extLst>
            <a:ext uri="{FF2B5EF4-FFF2-40B4-BE49-F238E27FC236}">
              <a16:creationId xmlns:a16="http://schemas.microsoft.com/office/drawing/2014/main" id="{08E6FF6D-E145-4F9E-871A-A02D2900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0</xdr:colOff>
      <xdr:row>37</xdr:row>
      <xdr:rowOff>0</xdr:rowOff>
    </xdr:to>
    <xdr:pic>
      <xdr:nvPicPr>
        <xdr:cNvPr id="25" name="Picture 42" descr="http://www.abs.gov.au/icons/ecblank.gif">
          <a:extLst>
            <a:ext uri="{FF2B5EF4-FFF2-40B4-BE49-F238E27FC236}">
              <a16:creationId xmlns:a16="http://schemas.microsoft.com/office/drawing/2014/main" id="{9CE0555D-95C2-47ED-8C8A-1CC0D5FD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26" name="Picture 43" descr="http://www.abs.gov.au/icons/ecblank.gif">
          <a:extLst>
            <a:ext uri="{FF2B5EF4-FFF2-40B4-BE49-F238E27FC236}">
              <a16:creationId xmlns:a16="http://schemas.microsoft.com/office/drawing/2014/main" id="{77B16707-DCF8-45D8-BCCF-F74A3047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27" name="Picture 44" descr="http://www.abs.gov.au/icons/ecblank.gif">
          <a:extLst>
            <a:ext uri="{FF2B5EF4-FFF2-40B4-BE49-F238E27FC236}">
              <a16:creationId xmlns:a16="http://schemas.microsoft.com/office/drawing/2014/main" id="{5E6849FA-6C60-4D5F-8714-7AB1542A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0</xdr:colOff>
      <xdr:row>37</xdr:row>
      <xdr:rowOff>0</xdr:rowOff>
    </xdr:to>
    <xdr:pic>
      <xdr:nvPicPr>
        <xdr:cNvPr id="28" name="Picture 45" descr="http://www.abs.gov.au/icons/ecblank.gif">
          <a:extLst>
            <a:ext uri="{FF2B5EF4-FFF2-40B4-BE49-F238E27FC236}">
              <a16:creationId xmlns:a16="http://schemas.microsoft.com/office/drawing/2014/main" id="{8B32A853-4557-43E2-8905-55DDB0CA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0</xdr:colOff>
      <xdr:row>37</xdr:row>
      <xdr:rowOff>0</xdr:rowOff>
    </xdr:to>
    <xdr:pic>
      <xdr:nvPicPr>
        <xdr:cNvPr id="29" name="Picture 46" descr="http://www.abs.gov.au/icons/ecblank.gif">
          <a:extLst>
            <a:ext uri="{FF2B5EF4-FFF2-40B4-BE49-F238E27FC236}">
              <a16:creationId xmlns:a16="http://schemas.microsoft.com/office/drawing/2014/main" id="{BAF646BA-622C-40BC-B7FF-B4C80D60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30" name="Picture 47" descr="http://www.abs.gov.au/icons/ecblank.gif">
          <a:extLst>
            <a:ext uri="{FF2B5EF4-FFF2-40B4-BE49-F238E27FC236}">
              <a16:creationId xmlns:a16="http://schemas.microsoft.com/office/drawing/2014/main" id="{2718B221-59ED-4BE4-A7C3-100351A0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31" name="Picture 48" descr="http://www.abs.gov.au/icons/ecblank.gif">
          <a:extLst>
            <a:ext uri="{FF2B5EF4-FFF2-40B4-BE49-F238E27FC236}">
              <a16:creationId xmlns:a16="http://schemas.microsoft.com/office/drawing/2014/main" id="{6291BE21-F41A-458C-B8B3-C840F653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0</xdr:colOff>
      <xdr:row>37</xdr:row>
      <xdr:rowOff>0</xdr:rowOff>
    </xdr:to>
    <xdr:pic>
      <xdr:nvPicPr>
        <xdr:cNvPr id="32" name="Picture 49" descr="http://www.abs.gov.au/icons/ecblank.gif">
          <a:extLst>
            <a:ext uri="{FF2B5EF4-FFF2-40B4-BE49-F238E27FC236}">
              <a16:creationId xmlns:a16="http://schemas.microsoft.com/office/drawing/2014/main" id="{D810B369-CE87-42F3-A750-CB459E2F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0</xdr:colOff>
      <xdr:row>37</xdr:row>
      <xdr:rowOff>0</xdr:rowOff>
    </xdr:to>
    <xdr:pic>
      <xdr:nvPicPr>
        <xdr:cNvPr id="33" name="Picture 50" descr="http://www.abs.gov.au/icons/ecblank.gif">
          <a:extLst>
            <a:ext uri="{FF2B5EF4-FFF2-40B4-BE49-F238E27FC236}">
              <a16:creationId xmlns:a16="http://schemas.microsoft.com/office/drawing/2014/main" id="{F1F68944-DE1C-4A93-AF29-CE0B4032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34" name="Picture 51" descr="http://www.abs.gov.au/icons/ecblank.gif">
          <a:extLst>
            <a:ext uri="{FF2B5EF4-FFF2-40B4-BE49-F238E27FC236}">
              <a16:creationId xmlns:a16="http://schemas.microsoft.com/office/drawing/2014/main" id="{08AE6680-E754-457A-99E9-C872FE0DB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35" name="Picture 52" descr="http://www.abs.gov.au/icons/ecblank.gif">
          <a:extLst>
            <a:ext uri="{FF2B5EF4-FFF2-40B4-BE49-F238E27FC236}">
              <a16:creationId xmlns:a16="http://schemas.microsoft.com/office/drawing/2014/main" id="{2712DFA5-D704-4CFD-93B9-96012AED2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36" name="Picture 53" descr="http://www.abs.gov.au/icons/ecblank.gif">
          <a:extLst>
            <a:ext uri="{FF2B5EF4-FFF2-40B4-BE49-F238E27FC236}">
              <a16:creationId xmlns:a16="http://schemas.microsoft.com/office/drawing/2014/main" id="{F70C65BA-D1AE-44A1-B7E3-0A61373C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37" name="Picture 54" descr="http://www.abs.gov.au/icons/ecblank.gif">
          <a:extLst>
            <a:ext uri="{FF2B5EF4-FFF2-40B4-BE49-F238E27FC236}">
              <a16:creationId xmlns:a16="http://schemas.microsoft.com/office/drawing/2014/main" id="{B447DC68-87ED-4388-8149-04D90427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0</xdr:colOff>
      <xdr:row>37</xdr:row>
      <xdr:rowOff>0</xdr:rowOff>
    </xdr:to>
    <xdr:pic>
      <xdr:nvPicPr>
        <xdr:cNvPr id="38" name="Picture 55" descr="http://www.abs.gov.au/icons/ecblank.gif">
          <a:extLst>
            <a:ext uri="{FF2B5EF4-FFF2-40B4-BE49-F238E27FC236}">
              <a16:creationId xmlns:a16="http://schemas.microsoft.com/office/drawing/2014/main" id="{D23BF4AB-15FC-4262-9DF0-6BF8FC8E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0</xdr:colOff>
      <xdr:row>37</xdr:row>
      <xdr:rowOff>0</xdr:rowOff>
    </xdr:to>
    <xdr:pic>
      <xdr:nvPicPr>
        <xdr:cNvPr id="39" name="Picture 56" descr="http://www.abs.gov.au/icons/ecblank.gif">
          <a:extLst>
            <a:ext uri="{FF2B5EF4-FFF2-40B4-BE49-F238E27FC236}">
              <a16:creationId xmlns:a16="http://schemas.microsoft.com/office/drawing/2014/main" id="{0D2FD43A-EE2B-4BE1-BF06-44458708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40" name="Picture 57" descr="http://www.abs.gov.au/icons/ecblank.gif">
          <a:extLst>
            <a:ext uri="{FF2B5EF4-FFF2-40B4-BE49-F238E27FC236}">
              <a16:creationId xmlns:a16="http://schemas.microsoft.com/office/drawing/2014/main" id="{0F04C981-2EE7-406A-9401-CFB06907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9525</xdr:rowOff>
    </xdr:to>
    <xdr:pic>
      <xdr:nvPicPr>
        <xdr:cNvPr id="41" name="Picture 58" descr="http://www.abs.gov.au/icons/ecblank.gif">
          <a:extLst>
            <a:ext uri="{FF2B5EF4-FFF2-40B4-BE49-F238E27FC236}">
              <a16:creationId xmlns:a16="http://schemas.microsoft.com/office/drawing/2014/main" id="{91327FC9-7D85-45AE-B797-3BC63635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915275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42" name="Picture 41" descr="http://www.abs.gov.au/icons/ecblank.gif">
          <a:extLst>
            <a:ext uri="{FF2B5EF4-FFF2-40B4-BE49-F238E27FC236}">
              <a16:creationId xmlns:a16="http://schemas.microsoft.com/office/drawing/2014/main" id="{B8770976-7067-43F2-9673-68B24F137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43" name="Picture 42" descr="http://www.abs.gov.au/icons/ecblank.gif">
          <a:extLst>
            <a:ext uri="{FF2B5EF4-FFF2-40B4-BE49-F238E27FC236}">
              <a16:creationId xmlns:a16="http://schemas.microsoft.com/office/drawing/2014/main" id="{5A6AFED5-FB73-4FE6-95F6-3D03A859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4" name="Picture 43" descr="http://www.abs.gov.au/icons/ecblank.gif">
          <a:extLst>
            <a:ext uri="{FF2B5EF4-FFF2-40B4-BE49-F238E27FC236}">
              <a16:creationId xmlns:a16="http://schemas.microsoft.com/office/drawing/2014/main" id="{9D92FB5B-E429-4F0C-B6C5-A11A6179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5" name="Picture 44" descr="http://www.abs.gov.au/icons/ecblank.gif">
          <a:extLst>
            <a:ext uri="{FF2B5EF4-FFF2-40B4-BE49-F238E27FC236}">
              <a16:creationId xmlns:a16="http://schemas.microsoft.com/office/drawing/2014/main" id="{8EF6D87E-9ABA-473E-8FCB-A7CFEC6F1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46" name="Picture 45" descr="http://www.abs.gov.au/icons/ecblank.gif">
          <a:extLst>
            <a:ext uri="{FF2B5EF4-FFF2-40B4-BE49-F238E27FC236}">
              <a16:creationId xmlns:a16="http://schemas.microsoft.com/office/drawing/2014/main" id="{595714C0-D838-40C4-B7A4-B6C3656A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47" name="Picture 46" descr="http://www.abs.gov.au/icons/ecblank.gif">
          <a:extLst>
            <a:ext uri="{FF2B5EF4-FFF2-40B4-BE49-F238E27FC236}">
              <a16:creationId xmlns:a16="http://schemas.microsoft.com/office/drawing/2014/main" id="{6DE73C2D-E2A1-4965-B08A-45BFE2B6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8" name="Picture 47" descr="http://www.abs.gov.au/icons/ecblank.gif">
          <a:extLst>
            <a:ext uri="{FF2B5EF4-FFF2-40B4-BE49-F238E27FC236}">
              <a16:creationId xmlns:a16="http://schemas.microsoft.com/office/drawing/2014/main" id="{6803A47A-EE05-481A-8476-7CC817AB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49" name="Picture 48" descr="http://www.abs.gov.au/icons/ecblank.gif">
          <a:extLst>
            <a:ext uri="{FF2B5EF4-FFF2-40B4-BE49-F238E27FC236}">
              <a16:creationId xmlns:a16="http://schemas.microsoft.com/office/drawing/2014/main" id="{F0E9B166-C2D4-4C70-98C3-6A46CCF9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0" name="Picture 49" descr="http://www.abs.gov.au/icons/ecblank.gif">
          <a:extLst>
            <a:ext uri="{FF2B5EF4-FFF2-40B4-BE49-F238E27FC236}">
              <a16:creationId xmlns:a16="http://schemas.microsoft.com/office/drawing/2014/main" id="{DF82F933-9448-4561-9693-C16AFC8B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1" name="Picture 50" descr="http://www.abs.gov.au/icons/ecblank.gif">
          <a:extLst>
            <a:ext uri="{FF2B5EF4-FFF2-40B4-BE49-F238E27FC236}">
              <a16:creationId xmlns:a16="http://schemas.microsoft.com/office/drawing/2014/main" id="{53E129CA-AE9F-4090-8F45-AEA827EE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2" name="Picture 51" descr="http://www.abs.gov.au/icons/ecblank.gif">
          <a:extLst>
            <a:ext uri="{FF2B5EF4-FFF2-40B4-BE49-F238E27FC236}">
              <a16:creationId xmlns:a16="http://schemas.microsoft.com/office/drawing/2014/main" id="{7D34F111-33BF-42BB-B2E1-67297E71D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3" name="Picture 52" descr="http://www.abs.gov.au/icons/ecblank.gif">
          <a:extLst>
            <a:ext uri="{FF2B5EF4-FFF2-40B4-BE49-F238E27FC236}">
              <a16:creationId xmlns:a16="http://schemas.microsoft.com/office/drawing/2014/main" id="{8665560C-A148-49BA-A497-D8B9BE149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4" name="Picture 53" descr="http://www.abs.gov.au/icons/ecblank.gif">
          <a:extLst>
            <a:ext uri="{FF2B5EF4-FFF2-40B4-BE49-F238E27FC236}">
              <a16:creationId xmlns:a16="http://schemas.microsoft.com/office/drawing/2014/main" id="{C0E54D45-8071-4589-A2D7-02CD1EA9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5" name="Picture 54" descr="http://www.abs.gov.au/icons/ecblank.gif">
          <a:extLst>
            <a:ext uri="{FF2B5EF4-FFF2-40B4-BE49-F238E27FC236}">
              <a16:creationId xmlns:a16="http://schemas.microsoft.com/office/drawing/2014/main" id="{32B0224E-CED4-4F21-887D-C3478609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6" name="Picture 55" descr="http://www.abs.gov.au/icons/ecblank.gif">
          <a:extLst>
            <a:ext uri="{FF2B5EF4-FFF2-40B4-BE49-F238E27FC236}">
              <a16:creationId xmlns:a16="http://schemas.microsoft.com/office/drawing/2014/main" id="{469A226C-3FBB-42DF-ADB1-F219AC8C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57" name="Picture 56" descr="http://www.abs.gov.au/icons/ecblank.gif">
          <a:extLst>
            <a:ext uri="{FF2B5EF4-FFF2-40B4-BE49-F238E27FC236}">
              <a16:creationId xmlns:a16="http://schemas.microsoft.com/office/drawing/2014/main" id="{141D3EB9-0BE1-4929-9C83-4E0C0C55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8" name="Picture 57" descr="http://www.abs.gov.au/icons/ecblank.gif">
          <a:extLst>
            <a:ext uri="{FF2B5EF4-FFF2-40B4-BE49-F238E27FC236}">
              <a16:creationId xmlns:a16="http://schemas.microsoft.com/office/drawing/2014/main" id="{A0BC5A2F-7409-4EAA-A740-5BDDA55F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4</xdr:col>
      <xdr:colOff>0</xdr:colOff>
      <xdr:row>96</xdr:row>
      <xdr:rowOff>9525</xdr:rowOff>
    </xdr:to>
    <xdr:pic>
      <xdr:nvPicPr>
        <xdr:cNvPr id="59" name="Picture 58" descr="http://www.abs.gov.au/icons/ecblank.gif">
          <a:extLst>
            <a:ext uri="{FF2B5EF4-FFF2-40B4-BE49-F238E27FC236}">
              <a16:creationId xmlns:a16="http://schemas.microsoft.com/office/drawing/2014/main" id="{D15C64EA-2616-437D-9A7B-A8506C88A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59258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60" name="Picture 59" descr="http://www.abs.gov.au/icons/ecblank.gif">
          <a:extLst>
            <a:ext uri="{FF2B5EF4-FFF2-40B4-BE49-F238E27FC236}">
              <a16:creationId xmlns:a16="http://schemas.microsoft.com/office/drawing/2014/main" id="{B1A04EF7-E821-4CFF-8B50-7AA13B48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9525</xdr:rowOff>
    </xdr:to>
    <xdr:pic>
      <xdr:nvPicPr>
        <xdr:cNvPr id="61" name="Picture 60" descr="http://www.abs.gov.au/icons/ecblank.gif">
          <a:extLst>
            <a:ext uri="{FF2B5EF4-FFF2-40B4-BE49-F238E27FC236}">
              <a16:creationId xmlns:a16="http://schemas.microsoft.com/office/drawing/2014/main" id="{72D18174-3558-4DE3-9115-D91DA15E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190875" y="13335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62" name="Picture 39" descr="http://www.abs.gov.au/icons/ecblank.gif">
          <a:extLst>
            <a:ext uri="{FF2B5EF4-FFF2-40B4-BE49-F238E27FC236}">
              <a16:creationId xmlns:a16="http://schemas.microsoft.com/office/drawing/2014/main" id="{10BF2EE6-8239-49CB-AB14-4567BB64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63" name="Picture 40" descr="http://www.abs.gov.au/icons/ecblank.gif">
          <a:extLst>
            <a:ext uri="{FF2B5EF4-FFF2-40B4-BE49-F238E27FC236}">
              <a16:creationId xmlns:a16="http://schemas.microsoft.com/office/drawing/2014/main" id="{FF8164EA-AE24-4B08-98C0-BAFD570E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0</xdr:colOff>
      <xdr:row>37</xdr:row>
      <xdr:rowOff>0</xdr:rowOff>
    </xdr:to>
    <xdr:pic>
      <xdr:nvPicPr>
        <xdr:cNvPr id="64" name="Picture 41" descr="http://www.abs.gov.au/icons/ecblank.gif">
          <a:extLst>
            <a:ext uri="{FF2B5EF4-FFF2-40B4-BE49-F238E27FC236}">
              <a16:creationId xmlns:a16="http://schemas.microsoft.com/office/drawing/2014/main" id="{B6B699FD-DC1E-411F-A246-0CDCB82C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0</xdr:colOff>
      <xdr:row>37</xdr:row>
      <xdr:rowOff>0</xdr:rowOff>
    </xdr:to>
    <xdr:pic>
      <xdr:nvPicPr>
        <xdr:cNvPr id="65" name="Picture 42" descr="http://www.abs.gov.au/icons/ecblank.gif">
          <a:extLst>
            <a:ext uri="{FF2B5EF4-FFF2-40B4-BE49-F238E27FC236}">
              <a16:creationId xmlns:a16="http://schemas.microsoft.com/office/drawing/2014/main" id="{0714A7F4-50FC-4535-A2F4-23C91A8B5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66" name="Picture 43" descr="http://www.abs.gov.au/icons/ecblank.gif">
          <a:extLst>
            <a:ext uri="{FF2B5EF4-FFF2-40B4-BE49-F238E27FC236}">
              <a16:creationId xmlns:a16="http://schemas.microsoft.com/office/drawing/2014/main" id="{3CFD32C4-8CEE-4795-8FDC-7DD0A4B0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67" name="Picture 44" descr="http://www.abs.gov.au/icons/ecblank.gif">
          <a:extLst>
            <a:ext uri="{FF2B5EF4-FFF2-40B4-BE49-F238E27FC236}">
              <a16:creationId xmlns:a16="http://schemas.microsoft.com/office/drawing/2014/main" id="{26204301-4009-4916-9082-6EFF2827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0</xdr:colOff>
      <xdr:row>37</xdr:row>
      <xdr:rowOff>0</xdr:rowOff>
    </xdr:to>
    <xdr:pic>
      <xdr:nvPicPr>
        <xdr:cNvPr id="68" name="Picture 45" descr="http://www.abs.gov.au/icons/ecblank.gif">
          <a:extLst>
            <a:ext uri="{FF2B5EF4-FFF2-40B4-BE49-F238E27FC236}">
              <a16:creationId xmlns:a16="http://schemas.microsoft.com/office/drawing/2014/main" id="{DC29866D-9720-407D-A502-5011A60A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0</xdr:colOff>
      <xdr:row>37</xdr:row>
      <xdr:rowOff>0</xdr:rowOff>
    </xdr:to>
    <xdr:pic>
      <xdr:nvPicPr>
        <xdr:cNvPr id="69" name="Picture 46" descr="http://www.abs.gov.au/icons/ecblank.gif">
          <a:extLst>
            <a:ext uri="{FF2B5EF4-FFF2-40B4-BE49-F238E27FC236}">
              <a16:creationId xmlns:a16="http://schemas.microsoft.com/office/drawing/2014/main" id="{EF096D28-26B6-48CD-855A-B69CF81F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70" name="Picture 47" descr="http://www.abs.gov.au/icons/ecblank.gif">
          <a:extLst>
            <a:ext uri="{FF2B5EF4-FFF2-40B4-BE49-F238E27FC236}">
              <a16:creationId xmlns:a16="http://schemas.microsoft.com/office/drawing/2014/main" id="{3B8D7C69-14DA-4B06-A098-912745E5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71" name="Picture 48" descr="http://www.abs.gov.au/icons/ecblank.gif">
          <a:extLst>
            <a:ext uri="{FF2B5EF4-FFF2-40B4-BE49-F238E27FC236}">
              <a16:creationId xmlns:a16="http://schemas.microsoft.com/office/drawing/2014/main" id="{25845485-8D91-4E25-A961-B9ECE6AE5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0</xdr:colOff>
      <xdr:row>37</xdr:row>
      <xdr:rowOff>0</xdr:rowOff>
    </xdr:to>
    <xdr:pic>
      <xdr:nvPicPr>
        <xdr:cNvPr id="72" name="Picture 49" descr="http://www.abs.gov.au/icons/ecblank.gif">
          <a:extLst>
            <a:ext uri="{FF2B5EF4-FFF2-40B4-BE49-F238E27FC236}">
              <a16:creationId xmlns:a16="http://schemas.microsoft.com/office/drawing/2014/main" id="{B551D075-EDC7-41C8-92D3-2FF7AE07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0</xdr:colOff>
      <xdr:row>37</xdr:row>
      <xdr:rowOff>0</xdr:rowOff>
    </xdr:to>
    <xdr:pic>
      <xdr:nvPicPr>
        <xdr:cNvPr id="73" name="Picture 50" descr="http://www.abs.gov.au/icons/ecblank.gif">
          <a:extLst>
            <a:ext uri="{FF2B5EF4-FFF2-40B4-BE49-F238E27FC236}">
              <a16:creationId xmlns:a16="http://schemas.microsoft.com/office/drawing/2014/main" id="{0BA940E7-6762-4D15-BFF6-F848F77B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74" name="Picture 51" descr="http://www.abs.gov.au/icons/ecblank.gif">
          <a:extLst>
            <a:ext uri="{FF2B5EF4-FFF2-40B4-BE49-F238E27FC236}">
              <a16:creationId xmlns:a16="http://schemas.microsoft.com/office/drawing/2014/main" id="{E8C7DE92-513D-4586-9CAC-F73EC251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75" name="Picture 52" descr="http://www.abs.gov.au/icons/ecblank.gif">
          <a:extLst>
            <a:ext uri="{FF2B5EF4-FFF2-40B4-BE49-F238E27FC236}">
              <a16:creationId xmlns:a16="http://schemas.microsoft.com/office/drawing/2014/main" id="{C1FA1C94-044F-4978-8BB6-02DA79E4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76" name="Picture 53" descr="http://www.abs.gov.au/icons/ecblank.gif">
          <a:extLst>
            <a:ext uri="{FF2B5EF4-FFF2-40B4-BE49-F238E27FC236}">
              <a16:creationId xmlns:a16="http://schemas.microsoft.com/office/drawing/2014/main" id="{9C3061AF-A734-484A-92F1-1EC55811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77" name="Picture 54" descr="http://www.abs.gov.au/icons/ecblank.gif">
          <a:extLst>
            <a:ext uri="{FF2B5EF4-FFF2-40B4-BE49-F238E27FC236}">
              <a16:creationId xmlns:a16="http://schemas.microsoft.com/office/drawing/2014/main" id="{AD98EB5F-4F9B-4B6F-ADCD-A8A75569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0</xdr:colOff>
      <xdr:row>37</xdr:row>
      <xdr:rowOff>0</xdr:rowOff>
    </xdr:to>
    <xdr:pic>
      <xdr:nvPicPr>
        <xdr:cNvPr id="78" name="Picture 55" descr="http://www.abs.gov.au/icons/ecblank.gif">
          <a:extLst>
            <a:ext uri="{FF2B5EF4-FFF2-40B4-BE49-F238E27FC236}">
              <a16:creationId xmlns:a16="http://schemas.microsoft.com/office/drawing/2014/main" id="{42B1D1BD-3411-4D53-9516-23EA591E5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0</xdr:colOff>
      <xdr:row>37</xdr:row>
      <xdr:rowOff>0</xdr:rowOff>
    </xdr:to>
    <xdr:pic>
      <xdr:nvPicPr>
        <xdr:cNvPr id="79" name="Picture 56" descr="http://www.abs.gov.au/icons/ecblank.gif">
          <a:extLst>
            <a:ext uri="{FF2B5EF4-FFF2-40B4-BE49-F238E27FC236}">
              <a16:creationId xmlns:a16="http://schemas.microsoft.com/office/drawing/2014/main" id="{27DF7C50-C0A3-45F5-B4B7-AA0D72B9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6372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80" name="Picture 57" descr="http://www.abs.gov.au/icons/ecblank.gif">
          <a:extLst>
            <a:ext uri="{FF2B5EF4-FFF2-40B4-BE49-F238E27FC236}">
              <a16:creationId xmlns:a16="http://schemas.microsoft.com/office/drawing/2014/main" id="{7B6FEBA4-6B5F-41EC-B1F2-BF4595DEF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9525</xdr:rowOff>
    </xdr:to>
    <xdr:pic>
      <xdr:nvPicPr>
        <xdr:cNvPr id="81" name="Picture 58" descr="http://www.abs.gov.au/icons/ecblank.gif">
          <a:extLst>
            <a:ext uri="{FF2B5EF4-FFF2-40B4-BE49-F238E27FC236}">
              <a16:creationId xmlns:a16="http://schemas.microsoft.com/office/drawing/2014/main" id="{BE6A060F-5FED-4322-A10D-4047149F0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601200" y="31432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77B67671-D38F-43A3-A3BF-D33AEC89C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3FE49355-88A3-4326-8313-30678B7B2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C35F632C-4813-4C5B-9807-C50FAB0AF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66306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E9BCC1B5-0FF1-431B-B877-A839084C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66306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714CD2D1-AF8E-4692-8E99-9F41AE35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03BDB1F5-4EC0-4451-977A-3A3C617D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2945A996-B880-4B60-B29C-BF2DD43A5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66306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E0D6C60D-37A6-44D5-84F5-C20DA293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66306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5DBA91B7-7979-4021-A1F0-6B2106DC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BD86BD9D-0796-49E9-AB9A-9E782BBA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E654F843-82FC-464D-8D53-16B511F4C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66306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3240C4B1-0B40-4C51-808F-85DE1096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66306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7AEDAD40-7477-4C46-AB51-DDD3DBF5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76037562-B838-4487-A300-40D192ED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16" name="Picture 15" descr="http://www.abs.gov.au/icons/ecblank.gif">
          <a:extLst>
            <a:ext uri="{FF2B5EF4-FFF2-40B4-BE49-F238E27FC236}">
              <a16:creationId xmlns:a16="http://schemas.microsoft.com/office/drawing/2014/main" id="{439E4DB7-8E62-4125-BE0E-45DABCD5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17" name="Picture 16" descr="http://www.abs.gov.au/icons/ecblank.gif">
          <a:extLst>
            <a:ext uri="{FF2B5EF4-FFF2-40B4-BE49-F238E27FC236}">
              <a16:creationId xmlns:a16="http://schemas.microsoft.com/office/drawing/2014/main" id="{6D01FCF0-7E33-4C86-8117-902AF1F5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69E8E2E1-B94D-4C48-B497-50367E83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66306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5258708E-222A-4124-A6CC-0644B739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66306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B5A44B60-1AED-4EE9-83CB-15B25B646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0</xdr:colOff>
      <xdr:row>80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D64003F9-5149-4C83-94D5-B915AEC7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140398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22" name="Picture 22" descr="http://www.abs.gov.au/icons/ecblank.gif">
          <a:extLst>
            <a:ext uri="{FF2B5EF4-FFF2-40B4-BE49-F238E27FC236}">
              <a16:creationId xmlns:a16="http://schemas.microsoft.com/office/drawing/2014/main" id="{90D2FECF-3D2B-4C6A-A3AD-10D5EF8C7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23" name="Picture 23" descr="http://www.abs.gov.au/icons/ecblank.gif">
          <a:extLst>
            <a:ext uri="{FF2B5EF4-FFF2-40B4-BE49-F238E27FC236}">
              <a16:creationId xmlns:a16="http://schemas.microsoft.com/office/drawing/2014/main" id="{03B5C6B5-0AC4-4D39-9637-199DCE37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45</xdr:row>
      <xdr:rowOff>0</xdr:rowOff>
    </xdr:from>
    <xdr:to>
      <xdr:col>10</xdr:col>
      <xdr:colOff>0</xdr:colOff>
      <xdr:row>45</xdr:row>
      <xdr:rowOff>0</xdr:rowOff>
    </xdr:to>
    <xdr:pic>
      <xdr:nvPicPr>
        <xdr:cNvPr id="24" name="Picture 24" descr="http://www.abs.gov.au/icons/ecblank.gif">
          <a:extLst>
            <a:ext uri="{FF2B5EF4-FFF2-40B4-BE49-F238E27FC236}">
              <a16:creationId xmlns:a16="http://schemas.microsoft.com/office/drawing/2014/main" id="{3F3AA7EF-646B-4C46-AEAF-97E305A2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837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45</xdr:row>
      <xdr:rowOff>0</xdr:rowOff>
    </xdr:from>
    <xdr:to>
      <xdr:col>10</xdr:col>
      <xdr:colOff>0</xdr:colOff>
      <xdr:row>45</xdr:row>
      <xdr:rowOff>0</xdr:rowOff>
    </xdr:to>
    <xdr:pic>
      <xdr:nvPicPr>
        <xdr:cNvPr id="25" name="Picture 25" descr="http://www.abs.gov.au/icons/ecblank.gif">
          <a:extLst>
            <a:ext uri="{FF2B5EF4-FFF2-40B4-BE49-F238E27FC236}">
              <a16:creationId xmlns:a16="http://schemas.microsoft.com/office/drawing/2014/main" id="{BD2A5BBC-FD25-4A59-9066-A19E55AE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837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26" name="Picture 26" descr="http://www.abs.gov.au/icons/ecblank.gif">
          <a:extLst>
            <a:ext uri="{FF2B5EF4-FFF2-40B4-BE49-F238E27FC236}">
              <a16:creationId xmlns:a16="http://schemas.microsoft.com/office/drawing/2014/main" id="{2F8CF3F3-A9D9-44A9-A080-8E2A3826C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27" name="Picture 27" descr="http://www.abs.gov.au/icons/ecblank.gif">
          <a:extLst>
            <a:ext uri="{FF2B5EF4-FFF2-40B4-BE49-F238E27FC236}">
              <a16:creationId xmlns:a16="http://schemas.microsoft.com/office/drawing/2014/main" id="{967A478D-8D3F-4127-92A9-DAE34E15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45</xdr:row>
      <xdr:rowOff>0</xdr:rowOff>
    </xdr:from>
    <xdr:to>
      <xdr:col>10</xdr:col>
      <xdr:colOff>0</xdr:colOff>
      <xdr:row>45</xdr:row>
      <xdr:rowOff>0</xdr:rowOff>
    </xdr:to>
    <xdr:pic>
      <xdr:nvPicPr>
        <xdr:cNvPr id="28" name="Picture 28" descr="http://www.abs.gov.au/icons/ecblank.gif">
          <a:extLst>
            <a:ext uri="{FF2B5EF4-FFF2-40B4-BE49-F238E27FC236}">
              <a16:creationId xmlns:a16="http://schemas.microsoft.com/office/drawing/2014/main" id="{233079D8-E21C-4C2A-BEBF-F7668E58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837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45</xdr:row>
      <xdr:rowOff>0</xdr:rowOff>
    </xdr:from>
    <xdr:to>
      <xdr:col>10</xdr:col>
      <xdr:colOff>0</xdr:colOff>
      <xdr:row>45</xdr:row>
      <xdr:rowOff>0</xdr:rowOff>
    </xdr:to>
    <xdr:pic>
      <xdr:nvPicPr>
        <xdr:cNvPr id="29" name="Picture 29" descr="http://www.abs.gov.au/icons/ecblank.gif">
          <a:extLst>
            <a:ext uri="{FF2B5EF4-FFF2-40B4-BE49-F238E27FC236}">
              <a16:creationId xmlns:a16="http://schemas.microsoft.com/office/drawing/2014/main" id="{FF6BBF7E-5AA6-493E-97FB-FAF4D1E6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837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30" name="Picture 30" descr="http://www.abs.gov.au/icons/ecblank.gif">
          <a:extLst>
            <a:ext uri="{FF2B5EF4-FFF2-40B4-BE49-F238E27FC236}">
              <a16:creationId xmlns:a16="http://schemas.microsoft.com/office/drawing/2014/main" id="{850D73E2-F97B-44EF-BDD6-A19407A5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31" name="Picture 31" descr="http://www.abs.gov.au/icons/ecblank.gif">
          <a:extLst>
            <a:ext uri="{FF2B5EF4-FFF2-40B4-BE49-F238E27FC236}">
              <a16:creationId xmlns:a16="http://schemas.microsoft.com/office/drawing/2014/main" id="{50AE693C-FFB5-40B3-A3DC-DFA2EE6D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45</xdr:row>
      <xdr:rowOff>0</xdr:rowOff>
    </xdr:from>
    <xdr:to>
      <xdr:col>10</xdr:col>
      <xdr:colOff>0</xdr:colOff>
      <xdr:row>45</xdr:row>
      <xdr:rowOff>0</xdr:rowOff>
    </xdr:to>
    <xdr:pic>
      <xdr:nvPicPr>
        <xdr:cNvPr id="32" name="Picture 32" descr="http://www.abs.gov.au/icons/ecblank.gif">
          <a:extLst>
            <a:ext uri="{FF2B5EF4-FFF2-40B4-BE49-F238E27FC236}">
              <a16:creationId xmlns:a16="http://schemas.microsoft.com/office/drawing/2014/main" id="{98F10592-C545-4A19-8143-86BAEDCB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837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45</xdr:row>
      <xdr:rowOff>0</xdr:rowOff>
    </xdr:from>
    <xdr:to>
      <xdr:col>10</xdr:col>
      <xdr:colOff>0</xdr:colOff>
      <xdr:row>45</xdr:row>
      <xdr:rowOff>0</xdr:rowOff>
    </xdr:to>
    <xdr:pic>
      <xdr:nvPicPr>
        <xdr:cNvPr id="33" name="Picture 33" descr="http://www.abs.gov.au/icons/ecblank.gif">
          <a:extLst>
            <a:ext uri="{FF2B5EF4-FFF2-40B4-BE49-F238E27FC236}">
              <a16:creationId xmlns:a16="http://schemas.microsoft.com/office/drawing/2014/main" id="{3EBAAA13-A202-41EF-8CC7-ADD60773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837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34" name="Picture 34" descr="http://www.abs.gov.au/icons/ecblank.gif">
          <a:extLst>
            <a:ext uri="{FF2B5EF4-FFF2-40B4-BE49-F238E27FC236}">
              <a16:creationId xmlns:a16="http://schemas.microsoft.com/office/drawing/2014/main" id="{CBE27206-7F5C-4B26-BFA3-00BAE674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35" name="Picture 35" descr="http://www.abs.gov.au/icons/ecblank.gif">
          <a:extLst>
            <a:ext uri="{FF2B5EF4-FFF2-40B4-BE49-F238E27FC236}">
              <a16:creationId xmlns:a16="http://schemas.microsoft.com/office/drawing/2014/main" id="{1A0B5C7C-6EC0-4009-A44B-950F00C7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36" name="Picture 36" descr="http://www.abs.gov.au/icons/ecblank.gif">
          <a:extLst>
            <a:ext uri="{FF2B5EF4-FFF2-40B4-BE49-F238E27FC236}">
              <a16:creationId xmlns:a16="http://schemas.microsoft.com/office/drawing/2014/main" id="{22C896D6-86F7-43BC-B131-B32D108C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37" name="Picture 37" descr="http://www.abs.gov.au/icons/ecblank.gif">
          <a:extLst>
            <a:ext uri="{FF2B5EF4-FFF2-40B4-BE49-F238E27FC236}">
              <a16:creationId xmlns:a16="http://schemas.microsoft.com/office/drawing/2014/main" id="{85C6E0FD-9B45-4918-919E-30E4DEC90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45</xdr:row>
      <xdr:rowOff>0</xdr:rowOff>
    </xdr:from>
    <xdr:to>
      <xdr:col>10</xdr:col>
      <xdr:colOff>0</xdr:colOff>
      <xdr:row>45</xdr:row>
      <xdr:rowOff>0</xdr:rowOff>
    </xdr:to>
    <xdr:pic>
      <xdr:nvPicPr>
        <xdr:cNvPr id="38" name="Picture 38" descr="http://www.abs.gov.au/icons/ecblank.gif">
          <a:extLst>
            <a:ext uri="{FF2B5EF4-FFF2-40B4-BE49-F238E27FC236}">
              <a16:creationId xmlns:a16="http://schemas.microsoft.com/office/drawing/2014/main" id="{14F0896D-BDB0-4854-9A4C-AD443975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837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45</xdr:row>
      <xdr:rowOff>0</xdr:rowOff>
    </xdr:from>
    <xdr:to>
      <xdr:col>10</xdr:col>
      <xdr:colOff>0</xdr:colOff>
      <xdr:row>45</xdr:row>
      <xdr:rowOff>0</xdr:rowOff>
    </xdr:to>
    <xdr:pic>
      <xdr:nvPicPr>
        <xdr:cNvPr id="39" name="Picture 39" descr="http://www.abs.gov.au/icons/ecblank.gif">
          <a:extLst>
            <a:ext uri="{FF2B5EF4-FFF2-40B4-BE49-F238E27FC236}">
              <a16:creationId xmlns:a16="http://schemas.microsoft.com/office/drawing/2014/main" id="{F910AE56-2410-4B32-B4C6-F1A13959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837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40" name="Picture 40" descr="http://www.abs.gov.au/icons/ecblank.gif">
          <a:extLst>
            <a:ext uri="{FF2B5EF4-FFF2-40B4-BE49-F238E27FC236}">
              <a16:creationId xmlns:a16="http://schemas.microsoft.com/office/drawing/2014/main" id="{DF45F0BF-31AD-46E2-AC72-6001E75A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9525</xdr:rowOff>
    </xdr:to>
    <xdr:pic>
      <xdr:nvPicPr>
        <xdr:cNvPr id="41" name="Picture 41" descr="http://www.abs.gov.au/icons/ecblank.gif">
          <a:extLst>
            <a:ext uri="{FF2B5EF4-FFF2-40B4-BE49-F238E27FC236}">
              <a16:creationId xmlns:a16="http://schemas.microsoft.com/office/drawing/2014/main" id="{E4E813FE-C1CD-4DDD-92B1-5C097CC3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648325" y="3838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0</xdr:colOff>
      <xdr:row>80</xdr:row>
      <xdr:rowOff>0</xdr:rowOff>
    </xdr:from>
    <xdr:to>
      <xdr:col>27</xdr:col>
      <xdr:colOff>9525</xdr:colOff>
      <xdr:row>80</xdr:row>
      <xdr:rowOff>9525</xdr:rowOff>
    </xdr:to>
    <xdr:pic>
      <xdr:nvPicPr>
        <xdr:cNvPr id="42" name="Picture 41" descr="http://www.abs.gov.au/icons/ecblank.gif">
          <a:extLst>
            <a:ext uri="{FF2B5EF4-FFF2-40B4-BE49-F238E27FC236}">
              <a16:creationId xmlns:a16="http://schemas.microsoft.com/office/drawing/2014/main" id="{353B679C-F239-41A2-B544-E368B404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4497050" y="14039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0</xdr:colOff>
      <xdr:row>80</xdr:row>
      <xdr:rowOff>0</xdr:rowOff>
    </xdr:from>
    <xdr:to>
      <xdr:col>27</xdr:col>
      <xdr:colOff>9525</xdr:colOff>
      <xdr:row>80</xdr:row>
      <xdr:rowOff>9525</xdr:rowOff>
    </xdr:to>
    <xdr:pic>
      <xdr:nvPicPr>
        <xdr:cNvPr id="43" name="Picture 42" descr="http://www.abs.gov.au/icons/ecblank.gif">
          <a:extLst>
            <a:ext uri="{FF2B5EF4-FFF2-40B4-BE49-F238E27FC236}">
              <a16:creationId xmlns:a16="http://schemas.microsoft.com/office/drawing/2014/main" id="{6E3774FF-0A6D-48EB-8148-90F7225F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4497050" y="14039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0</xdr:colOff>
      <xdr:row>96</xdr:row>
      <xdr:rowOff>0</xdr:rowOff>
    </xdr:from>
    <xdr:to>
      <xdr:col>27</xdr:col>
      <xdr:colOff>9525</xdr:colOff>
      <xdr:row>96</xdr:row>
      <xdr:rowOff>9525</xdr:rowOff>
    </xdr:to>
    <xdr:pic>
      <xdr:nvPicPr>
        <xdr:cNvPr id="44" name="Picture 43" descr="http://www.abs.gov.au/icons/ecblank.gif">
          <a:extLst>
            <a:ext uri="{FF2B5EF4-FFF2-40B4-BE49-F238E27FC236}">
              <a16:creationId xmlns:a16="http://schemas.microsoft.com/office/drawing/2014/main" id="{B675C0CD-0C8A-4FB8-804D-82625AB0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4497050" y="1663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0</xdr:colOff>
      <xdr:row>96</xdr:row>
      <xdr:rowOff>0</xdr:rowOff>
    </xdr:from>
    <xdr:to>
      <xdr:col>27</xdr:col>
      <xdr:colOff>9525</xdr:colOff>
      <xdr:row>96</xdr:row>
      <xdr:rowOff>9525</xdr:rowOff>
    </xdr:to>
    <xdr:pic>
      <xdr:nvPicPr>
        <xdr:cNvPr id="45" name="Picture 44" descr="http://www.abs.gov.au/icons/ecblank.gif">
          <a:extLst>
            <a:ext uri="{FF2B5EF4-FFF2-40B4-BE49-F238E27FC236}">
              <a16:creationId xmlns:a16="http://schemas.microsoft.com/office/drawing/2014/main" id="{8C79D82B-ABCD-4FFC-B45C-B3142D44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4497050" y="1663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0</xdr:colOff>
      <xdr:row>80</xdr:row>
      <xdr:rowOff>0</xdr:rowOff>
    </xdr:from>
    <xdr:to>
      <xdr:col>30</xdr:col>
      <xdr:colOff>9525</xdr:colOff>
      <xdr:row>80</xdr:row>
      <xdr:rowOff>9525</xdr:rowOff>
    </xdr:to>
    <xdr:pic>
      <xdr:nvPicPr>
        <xdr:cNvPr id="46" name="Picture 45" descr="http://www.abs.gov.au/icons/ecblank.gif">
          <a:extLst>
            <a:ext uri="{FF2B5EF4-FFF2-40B4-BE49-F238E27FC236}">
              <a16:creationId xmlns:a16="http://schemas.microsoft.com/office/drawing/2014/main" id="{89CD1A3A-C4AB-4733-9C19-D53B78BB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354425" y="14039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0</xdr:colOff>
      <xdr:row>80</xdr:row>
      <xdr:rowOff>0</xdr:rowOff>
    </xdr:from>
    <xdr:to>
      <xdr:col>30</xdr:col>
      <xdr:colOff>9525</xdr:colOff>
      <xdr:row>80</xdr:row>
      <xdr:rowOff>9525</xdr:rowOff>
    </xdr:to>
    <xdr:pic>
      <xdr:nvPicPr>
        <xdr:cNvPr id="47" name="Picture 46" descr="http://www.abs.gov.au/icons/ecblank.gif">
          <a:extLst>
            <a:ext uri="{FF2B5EF4-FFF2-40B4-BE49-F238E27FC236}">
              <a16:creationId xmlns:a16="http://schemas.microsoft.com/office/drawing/2014/main" id="{18B395C8-A257-492F-AD32-F1919BA6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6354425" y="14039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9525</xdr:colOff>
      <xdr:row>80</xdr:row>
      <xdr:rowOff>9525</xdr:rowOff>
    </xdr:to>
    <xdr:pic>
      <xdr:nvPicPr>
        <xdr:cNvPr id="48" name="Picture 47" descr="http://www.abs.gov.au/icons/ecblank.gif">
          <a:extLst>
            <a:ext uri="{FF2B5EF4-FFF2-40B4-BE49-F238E27FC236}">
              <a16:creationId xmlns:a16="http://schemas.microsoft.com/office/drawing/2014/main" id="{076B557B-CCA7-49AA-8008-40DD249A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106650" y="14039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9525</xdr:colOff>
      <xdr:row>80</xdr:row>
      <xdr:rowOff>9525</xdr:rowOff>
    </xdr:to>
    <xdr:pic>
      <xdr:nvPicPr>
        <xdr:cNvPr id="49" name="Picture 48" descr="http://www.abs.gov.au/icons/ecblank.gif">
          <a:extLst>
            <a:ext uri="{FF2B5EF4-FFF2-40B4-BE49-F238E27FC236}">
              <a16:creationId xmlns:a16="http://schemas.microsoft.com/office/drawing/2014/main" id="{9B6CCA60-7CBC-47A6-89E7-F6A7CB86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106650" y="14039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9525</xdr:colOff>
      <xdr:row>96</xdr:row>
      <xdr:rowOff>9525</xdr:rowOff>
    </xdr:to>
    <xdr:pic>
      <xdr:nvPicPr>
        <xdr:cNvPr id="50" name="Picture 49" descr="http://www.abs.gov.au/icons/ecblank.gif">
          <a:extLst>
            <a:ext uri="{FF2B5EF4-FFF2-40B4-BE49-F238E27FC236}">
              <a16:creationId xmlns:a16="http://schemas.microsoft.com/office/drawing/2014/main" id="{801577A0-5BAF-4533-875D-75A7BDB6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106650" y="1663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9525</xdr:colOff>
      <xdr:row>96</xdr:row>
      <xdr:rowOff>9525</xdr:rowOff>
    </xdr:to>
    <xdr:pic>
      <xdr:nvPicPr>
        <xdr:cNvPr id="51" name="Picture 50" descr="http://www.abs.gov.au/icons/ecblank.gif">
          <a:extLst>
            <a:ext uri="{FF2B5EF4-FFF2-40B4-BE49-F238E27FC236}">
              <a16:creationId xmlns:a16="http://schemas.microsoft.com/office/drawing/2014/main" id="{35EE10C9-6F3F-4536-BCC7-FC4D95C6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106650" y="1663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0</xdr:colOff>
      <xdr:row>80</xdr:row>
      <xdr:rowOff>0</xdr:rowOff>
    </xdr:from>
    <xdr:to>
      <xdr:col>29</xdr:col>
      <xdr:colOff>9525</xdr:colOff>
      <xdr:row>80</xdr:row>
      <xdr:rowOff>9525</xdr:rowOff>
    </xdr:to>
    <xdr:pic>
      <xdr:nvPicPr>
        <xdr:cNvPr id="52" name="Picture 51" descr="http://www.abs.gov.au/icons/ecblank.gif">
          <a:extLst>
            <a:ext uri="{FF2B5EF4-FFF2-40B4-BE49-F238E27FC236}">
              <a16:creationId xmlns:a16="http://schemas.microsoft.com/office/drawing/2014/main" id="{9746947C-9AC1-4174-975B-924E94AA9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744825" y="14039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0</xdr:colOff>
      <xdr:row>80</xdr:row>
      <xdr:rowOff>0</xdr:rowOff>
    </xdr:from>
    <xdr:to>
      <xdr:col>29</xdr:col>
      <xdr:colOff>9525</xdr:colOff>
      <xdr:row>80</xdr:row>
      <xdr:rowOff>9525</xdr:rowOff>
    </xdr:to>
    <xdr:pic>
      <xdr:nvPicPr>
        <xdr:cNvPr id="53" name="Picture 52" descr="http://www.abs.gov.au/icons/ecblank.gif">
          <a:extLst>
            <a:ext uri="{FF2B5EF4-FFF2-40B4-BE49-F238E27FC236}">
              <a16:creationId xmlns:a16="http://schemas.microsoft.com/office/drawing/2014/main" id="{9947C9CD-6CDC-49E5-A668-0D18EB625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744825" y="14039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0</xdr:colOff>
      <xdr:row>96</xdr:row>
      <xdr:rowOff>0</xdr:rowOff>
    </xdr:from>
    <xdr:to>
      <xdr:col>29</xdr:col>
      <xdr:colOff>9525</xdr:colOff>
      <xdr:row>96</xdr:row>
      <xdr:rowOff>9525</xdr:rowOff>
    </xdr:to>
    <xdr:pic>
      <xdr:nvPicPr>
        <xdr:cNvPr id="54" name="Picture 53" descr="http://www.abs.gov.au/icons/ecblank.gif">
          <a:extLst>
            <a:ext uri="{FF2B5EF4-FFF2-40B4-BE49-F238E27FC236}">
              <a16:creationId xmlns:a16="http://schemas.microsoft.com/office/drawing/2014/main" id="{B16C6213-7106-4E88-8291-28D0DAA1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744825" y="1663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0</xdr:colOff>
      <xdr:row>96</xdr:row>
      <xdr:rowOff>0</xdr:rowOff>
    </xdr:from>
    <xdr:to>
      <xdr:col>29</xdr:col>
      <xdr:colOff>9525</xdr:colOff>
      <xdr:row>96</xdr:row>
      <xdr:rowOff>9525</xdr:rowOff>
    </xdr:to>
    <xdr:pic>
      <xdr:nvPicPr>
        <xdr:cNvPr id="55" name="Picture 54" descr="http://www.abs.gov.au/icons/ecblank.gif">
          <a:extLst>
            <a:ext uri="{FF2B5EF4-FFF2-40B4-BE49-F238E27FC236}">
              <a16:creationId xmlns:a16="http://schemas.microsoft.com/office/drawing/2014/main" id="{68DC768F-F211-4979-BB77-1B320322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744825" y="1663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80</xdr:row>
      <xdr:rowOff>0</xdr:rowOff>
    </xdr:from>
    <xdr:to>
      <xdr:col>21</xdr:col>
      <xdr:colOff>9525</xdr:colOff>
      <xdr:row>80</xdr:row>
      <xdr:rowOff>9525</xdr:rowOff>
    </xdr:to>
    <xdr:pic>
      <xdr:nvPicPr>
        <xdr:cNvPr id="56" name="Picture 55" descr="http://www.abs.gov.au/icons/ecblank.gif">
          <a:extLst>
            <a:ext uri="{FF2B5EF4-FFF2-40B4-BE49-F238E27FC236}">
              <a16:creationId xmlns:a16="http://schemas.microsoft.com/office/drawing/2014/main" id="{143C07E6-756B-4EB4-8051-367BD25E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096625" y="14039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80</xdr:row>
      <xdr:rowOff>0</xdr:rowOff>
    </xdr:from>
    <xdr:to>
      <xdr:col>21</xdr:col>
      <xdr:colOff>9525</xdr:colOff>
      <xdr:row>80</xdr:row>
      <xdr:rowOff>9525</xdr:rowOff>
    </xdr:to>
    <xdr:pic>
      <xdr:nvPicPr>
        <xdr:cNvPr id="57" name="Picture 56" descr="http://www.abs.gov.au/icons/ecblank.gif">
          <a:extLst>
            <a:ext uri="{FF2B5EF4-FFF2-40B4-BE49-F238E27FC236}">
              <a16:creationId xmlns:a16="http://schemas.microsoft.com/office/drawing/2014/main" id="{AEF97CED-E006-4AD9-B129-51E94BDEA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096625" y="14039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96</xdr:row>
      <xdr:rowOff>0</xdr:rowOff>
    </xdr:from>
    <xdr:to>
      <xdr:col>21</xdr:col>
      <xdr:colOff>9525</xdr:colOff>
      <xdr:row>96</xdr:row>
      <xdr:rowOff>9525</xdr:rowOff>
    </xdr:to>
    <xdr:pic>
      <xdr:nvPicPr>
        <xdr:cNvPr id="58" name="Picture 57" descr="http://www.abs.gov.au/icons/ecblank.gif">
          <a:extLst>
            <a:ext uri="{FF2B5EF4-FFF2-40B4-BE49-F238E27FC236}">
              <a16:creationId xmlns:a16="http://schemas.microsoft.com/office/drawing/2014/main" id="{F3F08384-2B12-4D37-BE40-447EEC92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096625" y="1663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96</xdr:row>
      <xdr:rowOff>0</xdr:rowOff>
    </xdr:from>
    <xdr:to>
      <xdr:col>21</xdr:col>
      <xdr:colOff>9525</xdr:colOff>
      <xdr:row>96</xdr:row>
      <xdr:rowOff>9525</xdr:rowOff>
    </xdr:to>
    <xdr:pic>
      <xdr:nvPicPr>
        <xdr:cNvPr id="59" name="Picture 58" descr="http://www.abs.gov.au/icons/ecblank.gif">
          <a:extLst>
            <a:ext uri="{FF2B5EF4-FFF2-40B4-BE49-F238E27FC236}">
              <a16:creationId xmlns:a16="http://schemas.microsoft.com/office/drawing/2014/main" id="{EDA62416-5CBF-4DE5-B55A-9E812503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096625" y="1663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36929643-01B9-4A94-A0DF-F60E46F1C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A1F689B1-F325-4B59-9E24-1EB7E371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D94E4A07-464E-4183-AD1D-4E171E28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7CEFD5D6-480C-4B22-9639-246F20D7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CA8DE47D-95BD-443F-9F08-C33AB042F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5FF148AA-C19B-43C9-A8C4-B47A6D3D2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28288503-F8D9-4EA9-81EE-86B58FBB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D7B79805-3A6A-4C67-B569-175085D0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10" name="Picture 9" descr="http://www.abs.gov.au/icons/ecblank.gif">
          <a:extLst>
            <a:ext uri="{FF2B5EF4-FFF2-40B4-BE49-F238E27FC236}">
              <a16:creationId xmlns:a16="http://schemas.microsoft.com/office/drawing/2014/main" id="{6FF5BB76-1264-427D-B841-D5EC0229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11" name="Picture 10" descr="http://www.abs.gov.au/icons/ecblank.gif">
          <a:extLst>
            <a:ext uri="{FF2B5EF4-FFF2-40B4-BE49-F238E27FC236}">
              <a16:creationId xmlns:a16="http://schemas.microsoft.com/office/drawing/2014/main" id="{DED97CD7-543B-4273-940C-5D913702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38A6821D-5A75-4931-B259-A4D94CF2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C4D0C511-E6F2-45AF-AAB1-FF6D4A41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0263D346-FAF8-44B1-9B57-147A170F4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561E5078-66EE-4075-9B55-C7F0CD37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16" name="Picture 15" descr="http://www.abs.gov.au/icons/ecblank.gif">
          <a:extLst>
            <a:ext uri="{FF2B5EF4-FFF2-40B4-BE49-F238E27FC236}">
              <a16:creationId xmlns:a16="http://schemas.microsoft.com/office/drawing/2014/main" id="{653C7E33-1E30-452F-A60F-AD2C9CDF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17" name="Picture 16" descr="http://www.abs.gov.au/icons/ecblank.gif">
          <a:extLst>
            <a:ext uri="{FF2B5EF4-FFF2-40B4-BE49-F238E27FC236}">
              <a16:creationId xmlns:a16="http://schemas.microsoft.com/office/drawing/2014/main" id="{C52B5E1C-250A-42D8-B725-D2AC5DE7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B1B8C1E5-9DB9-48D2-BBE0-FB5E409B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95</xdr:row>
      <xdr:rowOff>0</xdr:rowOff>
    </xdr:from>
    <xdr:to>
      <xdr:col>9</xdr:col>
      <xdr:colOff>0</xdr:colOff>
      <xdr:row>95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71E698E4-9300-402E-8D4A-54789FA1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223D16EC-8EB5-4B71-8158-2EF960A5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79</xdr:row>
      <xdr:rowOff>0</xdr:rowOff>
    </xdr:from>
    <xdr:to>
      <xdr:col>9</xdr:col>
      <xdr:colOff>0</xdr:colOff>
      <xdr:row>79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00B347CC-7D31-45BA-9DC6-F33A1932B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22" name="Picture 22" descr="http://www.abs.gov.au/icons/ecblank.gif">
          <a:extLst>
            <a:ext uri="{FF2B5EF4-FFF2-40B4-BE49-F238E27FC236}">
              <a16:creationId xmlns:a16="http://schemas.microsoft.com/office/drawing/2014/main" id="{C4B3BE4E-A72C-4D56-BBFB-1D74EF57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23" name="Picture 23" descr="http://www.abs.gov.au/icons/ecblank.gif">
          <a:extLst>
            <a:ext uri="{FF2B5EF4-FFF2-40B4-BE49-F238E27FC236}">
              <a16:creationId xmlns:a16="http://schemas.microsoft.com/office/drawing/2014/main" id="{81E561FE-B527-4AF8-BEC8-7DA5B3B7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0</xdr:colOff>
      <xdr:row>44</xdr:row>
      <xdr:rowOff>0</xdr:rowOff>
    </xdr:to>
    <xdr:pic>
      <xdr:nvPicPr>
        <xdr:cNvPr id="24" name="Picture 24" descr="http://www.abs.gov.au/icons/ecblank.gif">
          <a:extLst>
            <a:ext uri="{FF2B5EF4-FFF2-40B4-BE49-F238E27FC236}">
              <a16:creationId xmlns:a16="http://schemas.microsoft.com/office/drawing/2014/main" id="{66C58A9B-17D5-4637-9F21-DE76E80D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7696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0</xdr:colOff>
      <xdr:row>44</xdr:row>
      <xdr:rowOff>0</xdr:rowOff>
    </xdr:to>
    <xdr:pic>
      <xdr:nvPicPr>
        <xdr:cNvPr id="25" name="Picture 25" descr="http://www.abs.gov.au/icons/ecblank.gif">
          <a:extLst>
            <a:ext uri="{FF2B5EF4-FFF2-40B4-BE49-F238E27FC236}">
              <a16:creationId xmlns:a16="http://schemas.microsoft.com/office/drawing/2014/main" id="{9ADE7D88-38E5-4402-8EAB-5E6C5669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7696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26" name="Picture 26" descr="http://www.abs.gov.au/icons/ecblank.gif">
          <a:extLst>
            <a:ext uri="{FF2B5EF4-FFF2-40B4-BE49-F238E27FC236}">
              <a16:creationId xmlns:a16="http://schemas.microsoft.com/office/drawing/2014/main" id="{E0357E29-3B36-4B97-9B57-B997D004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27" name="Picture 27" descr="http://www.abs.gov.au/icons/ecblank.gif">
          <a:extLst>
            <a:ext uri="{FF2B5EF4-FFF2-40B4-BE49-F238E27FC236}">
              <a16:creationId xmlns:a16="http://schemas.microsoft.com/office/drawing/2014/main" id="{40972542-6C89-42EC-9E26-52ACF42C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0</xdr:colOff>
      <xdr:row>44</xdr:row>
      <xdr:rowOff>0</xdr:rowOff>
    </xdr:to>
    <xdr:pic>
      <xdr:nvPicPr>
        <xdr:cNvPr id="28" name="Picture 28" descr="http://www.abs.gov.au/icons/ecblank.gif">
          <a:extLst>
            <a:ext uri="{FF2B5EF4-FFF2-40B4-BE49-F238E27FC236}">
              <a16:creationId xmlns:a16="http://schemas.microsoft.com/office/drawing/2014/main" id="{F5C28A80-64E8-4AFB-B5ED-887A8C52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7696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0</xdr:colOff>
      <xdr:row>44</xdr:row>
      <xdr:rowOff>0</xdr:rowOff>
    </xdr:to>
    <xdr:pic>
      <xdr:nvPicPr>
        <xdr:cNvPr id="29" name="Picture 29" descr="http://www.abs.gov.au/icons/ecblank.gif">
          <a:extLst>
            <a:ext uri="{FF2B5EF4-FFF2-40B4-BE49-F238E27FC236}">
              <a16:creationId xmlns:a16="http://schemas.microsoft.com/office/drawing/2014/main" id="{6D8218E6-CECE-4AED-9D06-E48FA35F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7696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30" name="Picture 30" descr="http://www.abs.gov.au/icons/ecblank.gif">
          <a:extLst>
            <a:ext uri="{FF2B5EF4-FFF2-40B4-BE49-F238E27FC236}">
              <a16:creationId xmlns:a16="http://schemas.microsoft.com/office/drawing/2014/main" id="{85E41245-B017-44E5-9644-B3D73A8C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31" name="Picture 31" descr="http://www.abs.gov.au/icons/ecblank.gif">
          <a:extLst>
            <a:ext uri="{FF2B5EF4-FFF2-40B4-BE49-F238E27FC236}">
              <a16:creationId xmlns:a16="http://schemas.microsoft.com/office/drawing/2014/main" id="{AFA2FB89-BD93-4B47-8F4D-F2242AA33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0</xdr:colOff>
      <xdr:row>44</xdr:row>
      <xdr:rowOff>0</xdr:rowOff>
    </xdr:to>
    <xdr:pic>
      <xdr:nvPicPr>
        <xdr:cNvPr id="32" name="Picture 32" descr="http://www.abs.gov.au/icons/ecblank.gif">
          <a:extLst>
            <a:ext uri="{FF2B5EF4-FFF2-40B4-BE49-F238E27FC236}">
              <a16:creationId xmlns:a16="http://schemas.microsoft.com/office/drawing/2014/main" id="{86952A64-A422-4C35-8023-100F9709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7696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0</xdr:colOff>
      <xdr:row>44</xdr:row>
      <xdr:rowOff>0</xdr:rowOff>
    </xdr:to>
    <xdr:pic>
      <xdr:nvPicPr>
        <xdr:cNvPr id="33" name="Picture 33" descr="http://www.abs.gov.au/icons/ecblank.gif">
          <a:extLst>
            <a:ext uri="{FF2B5EF4-FFF2-40B4-BE49-F238E27FC236}">
              <a16:creationId xmlns:a16="http://schemas.microsoft.com/office/drawing/2014/main" id="{ACE6DF28-258D-498B-99F3-1EE94916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7696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34" name="Picture 34" descr="http://www.abs.gov.au/icons/ecblank.gif">
          <a:extLst>
            <a:ext uri="{FF2B5EF4-FFF2-40B4-BE49-F238E27FC236}">
              <a16:creationId xmlns:a16="http://schemas.microsoft.com/office/drawing/2014/main" id="{0A3ADE00-FFCC-4C1B-85E1-93E794B4F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35" name="Picture 35" descr="http://www.abs.gov.au/icons/ecblank.gif">
          <a:extLst>
            <a:ext uri="{FF2B5EF4-FFF2-40B4-BE49-F238E27FC236}">
              <a16:creationId xmlns:a16="http://schemas.microsoft.com/office/drawing/2014/main" id="{74541171-8BA3-4D0C-82A8-D51D9E5C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36" name="Picture 36" descr="http://www.abs.gov.au/icons/ecblank.gif">
          <a:extLst>
            <a:ext uri="{FF2B5EF4-FFF2-40B4-BE49-F238E27FC236}">
              <a16:creationId xmlns:a16="http://schemas.microsoft.com/office/drawing/2014/main" id="{51996DE9-73DC-4F43-9CD4-BD8C7F49E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37" name="Picture 37" descr="http://www.abs.gov.au/icons/ecblank.gif">
          <a:extLst>
            <a:ext uri="{FF2B5EF4-FFF2-40B4-BE49-F238E27FC236}">
              <a16:creationId xmlns:a16="http://schemas.microsoft.com/office/drawing/2014/main" id="{E817A52F-02C1-4D5C-8C89-5E1E3BDA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0</xdr:colOff>
      <xdr:row>44</xdr:row>
      <xdr:rowOff>0</xdr:rowOff>
    </xdr:to>
    <xdr:pic>
      <xdr:nvPicPr>
        <xdr:cNvPr id="38" name="Picture 38" descr="http://www.abs.gov.au/icons/ecblank.gif">
          <a:extLst>
            <a:ext uri="{FF2B5EF4-FFF2-40B4-BE49-F238E27FC236}">
              <a16:creationId xmlns:a16="http://schemas.microsoft.com/office/drawing/2014/main" id="{D4BA4C18-C205-4D3D-B676-6912A981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7696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0</xdr:colOff>
      <xdr:row>44</xdr:row>
      <xdr:rowOff>0</xdr:rowOff>
    </xdr:to>
    <xdr:pic>
      <xdr:nvPicPr>
        <xdr:cNvPr id="39" name="Picture 39" descr="http://www.abs.gov.au/icons/ecblank.gif">
          <a:extLst>
            <a:ext uri="{FF2B5EF4-FFF2-40B4-BE49-F238E27FC236}">
              <a16:creationId xmlns:a16="http://schemas.microsoft.com/office/drawing/2014/main" id="{AB488B9F-EC16-4E24-B187-68F98AEAD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7696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40" name="Picture 40" descr="http://www.abs.gov.au/icons/ecblank.gif">
          <a:extLst>
            <a:ext uri="{FF2B5EF4-FFF2-40B4-BE49-F238E27FC236}">
              <a16:creationId xmlns:a16="http://schemas.microsoft.com/office/drawing/2014/main" id="{003FAAE2-06F3-4501-A16F-03569888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9525</xdr:rowOff>
    </xdr:to>
    <xdr:pic>
      <xdr:nvPicPr>
        <xdr:cNvPr id="41" name="Picture 41" descr="http://www.abs.gov.au/icons/ecblank.gif">
          <a:extLst>
            <a:ext uri="{FF2B5EF4-FFF2-40B4-BE49-F238E27FC236}">
              <a16:creationId xmlns:a16="http://schemas.microsoft.com/office/drawing/2014/main" id="{229969C9-5CA7-4066-8A06-183422703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10450" y="31623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42" name="Picture 42" descr="http://www.abs.gov.au/icons/ecblank.gif">
          <a:extLst>
            <a:ext uri="{FF2B5EF4-FFF2-40B4-BE49-F238E27FC236}">
              <a16:creationId xmlns:a16="http://schemas.microsoft.com/office/drawing/2014/main" id="{BE8C2F76-EACC-422F-A52A-73526452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43" name="Picture 43" descr="http://www.abs.gov.au/icons/ecblank.gif">
          <a:extLst>
            <a:ext uri="{FF2B5EF4-FFF2-40B4-BE49-F238E27FC236}">
              <a16:creationId xmlns:a16="http://schemas.microsoft.com/office/drawing/2014/main" id="{F3DBFB36-7497-4A62-B1E4-C77F44AB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44" name="Picture 44" descr="http://www.abs.gov.au/icons/ecblank.gif">
          <a:extLst>
            <a:ext uri="{FF2B5EF4-FFF2-40B4-BE49-F238E27FC236}">
              <a16:creationId xmlns:a16="http://schemas.microsoft.com/office/drawing/2014/main" id="{D6747ADA-F525-42B8-93E4-A5CFAAD0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45" name="Picture 45" descr="http://www.abs.gov.au/icons/ecblank.gif">
          <a:extLst>
            <a:ext uri="{FF2B5EF4-FFF2-40B4-BE49-F238E27FC236}">
              <a16:creationId xmlns:a16="http://schemas.microsoft.com/office/drawing/2014/main" id="{3C6580EC-4D03-4A9B-8097-57C81A9E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46" name="Picture 46" descr="http://www.abs.gov.au/icons/ecblank.gif">
          <a:extLst>
            <a:ext uri="{FF2B5EF4-FFF2-40B4-BE49-F238E27FC236}">
              <a16:creationId xmlns:a16="http://schemas.microsoft.com/office/drawing/2014/main" id="{5ADD74CF-8B23-46F4-A504-0CEB30050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47" name="Picture 47" descr="http://www.abs.gov.au/icons/ecblank.gif">
          <a:extLst>
            <a:ext uri="{FF2B5EF4-FFF2-40B4-BE49-F238E27FC236}">
              <a16:creationId xmlns:a16="http://schemas.microsoft.com/office/drawing/2014/main" id="{7CE30DAC-68DD-4C46-A098-CD8AC99E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48" name="Picture 48" descr="http://www.abs.gov.au/icons/ecblank.gif">
          <a:extLst>
            <a:ext uri="{FF2B5EF4-FFF2-40B4-BE49-F238E27FC236}">
              <a16:creationId xmlns:a16="http://schemas.microsoft.com/office/drawing/2014/main" id="{03E5A3EE-B8D9-42B4-97DA-03AD16F3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49" name="Picture 49" descr="http://www.abs.gov.au/icons/ecblank.gif">
          <a:extLst>
            <a:ext uri="{FF2B5EF4-FFF2-40B4-BE49-F238E27FC236}">
              <a16:creationId xmlns:a16="http://schemas.microsoft.com/office/drawing/2014/main" id="{A5E8D887-A140-4C88-86E1-1EB88B4B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50" name="Picture 50" descr="http://www.abs.gov.au/icons/ecblank.gif">
          <a:extLst>
            <a:ext uri="{FF2B5EF4-FFF2-40B4-BE49-F238E27FC236}">
              <a16:creationId xmlns:a16="http://schemas.microsoft.com/office/drawing/2014/main" id="{7445BDE8-1E68-4D2B-9D85-095E5C4E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51" name="Picture 51" descr="http://www.abs.gov.au/icons/ecblank.gif">
          <a:extLst>
            <a:ext uri="{FF2B5EF4-FFF2-40B4-BE49-F238E27FC236}">
              <a16:creationId xmlns:a16="http://schemas.microsoft.com/office/drawing/2014/main" id="{014D5C8E-0436-42CA-9C10-69CCF3E90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52" name="Picture 52" descr="http://www.abs.gov.au/icons/ecblank.gif">
          <a:extLst>
            <a:ext uri="{FF2B5EF4-FFF2-40B4-BE49-F238E27FC236}">
              <a16:creationId xmlns:a16="http://schemas.microsoft.com/office/drawing/2014/main" id="{C033876B-E857-43C0-9F67-A3D533B0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53" name="Picture 53" descr="http://www.abs.gov.au/icons/ecblank.gif">
          <a:extLst>
            <a:ext uri="{FF2B5EF4-FFF2-40B4-BE49-F238E27FC236}">
              <a16:creationId xmlns:a16="http://schemas.microsoft.com/office/drawing/2014/main" id="{8387ABFA-8CCF-4A51-966F-BBAF3DF4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54" name="Picture 54" descr="http://www.abs.gov.au/icons/ecblank.gif">
          <a:extLst>
            <a:ext uri="{FF2B5EF4-FFF2-40B4-BE49-F238E27FC236}">
              <a16:creationId xmlns:a16="http://schemas.microsoft.com/office/drawing/2014/main" id="{2511C264-68D7-49CD-A35F-C05045CC9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55" name="Picture 55" descr="http://www.abs.gov.au/icons/ecblank.gif">
          <a:extLst>
            <a:ext uri="{FF2B5EF4-FFF2-40B4-BE49-F238E27FC236}">
              <a16:creationId xmlns:a16="http://schemas.microsoft.com/office/drawing/2014/main" id="{69C9D3C6-431B-4DAC-B975-7E02ECBE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56" name="Picture 56" descr="http://www.abs.gov.au/icons/ecblank.gif">
          <a:extLst>
            <a:ext uri="{FF2B5EF4-FFF2-40B4-BE49-F238E27FC236}">
              <a16:creationId xmlns:a16="http://schemas.microsoft.com/office/drawing/2014/main" id="{9471D2CC-6DD9-4346-9AA4-7AF769BA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57" name="Picture 57" descr="http://www.abs.gov.au/icons/ecblank.gif">
          <a:extLst>
            <a:ext uri="{FF2B5EF4-FFF2-40B4-BE49-F238E27FC236}">
              <a16:creationId xmlns:a16="http://schemas.microsoft.com/office/drawing/2014/main" id="{DCAFA482-6B21-41C6-9455-1473E2F8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58" name="Picture 58" descr="http://www.abs.gov.au/icons/ecblank.gif">
          <a:extLst>
            <a:ext uri="{FF2B5EF4-FFF2-40B4-BE49-F238E27FC236}">
              <a16:creationId xmlns:a16="http://schemas.microsoft.com/office/drawing/2014/main" id="{2D79AAAC-2DB5-4FB4-9737-58DC46DE3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95</xdr:row>
      <xdr:rowOff>0</xdr:rowOff>
    </xdr:from>
    <xdr:to>
      <xdr:col>13</xdr:col>
      <xdr:colOff>0</xdr:colOff>
      <xdr:row>95</xdr:row>
      <xdr:rowOff>9525</xdr:rowOff>
    </xdr:to>
    <xdr:pic>
      <xdr:nvPicPr>
        <xdr:cNvPr id="59" name="Picture 59" descr="http://www.abs.gov.au/icons/ecblank.gif">
          <a:extLst>
            <a:ext uri="{FF2B5EF4-FFF2-40B4-BE49-F238E27FC236}">
              <a16:creationId xmlns:a16="http://schemas.microsoft.com/office/drawing/2014/main" id="{9474587E-05C6-43B7-B846-5B717179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60" name="Picture 60" descr="http://www.abs.gov.au/icons/ecblank.gif">
          <a:extLst>
            <a:ext uri="{FF2B5EF4-FFF2-40B4-BE49-F238E27FC236}">
              <a16:creationId xmlns:a16="http://schemas.microsoft.com/office/drawing/2014/main" id="{AB07EDE4-5E5F-450D-BB05-8C23B73C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0</xdr:colOff>
      <xdr:row>79</xdr:row>
      <xdr:rowOff>9525</xdr:rowOff>
    </xdr:to>
    <xdr:pic>
      <xdr:nvPicPr>
        <xdr:cNvPr id="61" name="Picture 61" descr="http://www.abs.gov.au/icons/ecblank.gif">
          <a:extLst>
            <a:ext uri="{FF2B5EF4-FFF2-40B4-BE49-F238E27FC236}">
              <a16:creationId xmlns:a16="http://schemas.microsoft.com/office/drawing/2014/main" id="{C9543BE1-892E-4BBF-B760-71D97B90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6760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62" name="Picture 62" descr="http://www.abs.gov.au/icons/ecblank.gif">
          <a:extLst>
            <a:ext uri="{FF2B5EF4-FFF2-40B4-BE49-F238E27FC236}">
              <a16:creationId xmlns:a16="http://schemas.microsoft.com/office/drawing/2014/main" id="{8A338AAC-D060-44EE-B8BE-54648666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63" name="Picture 63" descr="http://www.abs.gov.au/icons/ecblank.gif">
          <a:extLst>
            <a:ext uri="{FF2B5EF4-FFF2-40B4-BE49-F238E27FC236}">
              <a16:creationId xmlns:a16="http://schemas.microsoft.com/office/drawing/2014/main" id="{0092E8DB-70EE-4870-8501-27E84C3E3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64" name="Picture 64" descr="http://www.abs.gov.au/icons/ecblank.gif">
          <a:extLst>
            <a:ext uri="{FF2B5EF4-FFF2-40B4-BE49-F238E27FC236}">
              <a16:creationId xmlns:a16="http://schemas.microsoft.com/office/drawing/2014/main" id="{C3BEADE7-611E-491F-AF3B-51363594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65" name="Picture 65" descr="http://www.abs.gov.au/icons/ecblank.gif">
          <a:extLst>
            <a:ext uri="{FF2B5EF4-FFF2-40B4-BE49-F238E27FC236}">
              <a16:creationId xmlns:a16="http://schemas.microsoft.com/office/drawing/2014/main" id="{70349A80-FCC7-4226-9418-9C92A2FF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66" name="Picture 66" descr="http://www.abs.gov.au/icons/ecblank.gif">
          <a:extLst>
            <a:ext uri="{FF2B5EF4-FFF2-40B4-BE49-F238E27FC236}">
              <a16:creationId xmlns:a16="http://schemas.microsoft.com/office/drawing/2014/main" id="{FBECEEEE-3B26-4978-A905-F813438D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67" name="Picture 67" descr="http://www.abs.gov.au/icons/ecblank.gif">
          <a:extLst>
            <a:ext uri="{FF2B5EF4-FFF2-40B4-BE49-F238E27FC236}">
              <a16:creationId xmlns:a16="http://schemas.microsoft.com/office/drawing/2014/main" id="{B4769360-1B5A-420B-9CE8-95CA662C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68" name="Picture 68" descr="http://www.abs.gov.au/icons/ecblank.gif">
          <a:extLst>
            <a:ext uri="{FF2B5EF4-FFF2-40B4-BE49-F238E27FC236}">
              <a16:creationId xmlns:a16="http://schemas.microsoft.com/office/drawing/2014/main" id="{2C2EDE91-8F9C-4862-88C9-9B75B831F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69" name="Picture 69" descr="http://www.abs.gov.au/icons/ecblank.gif">
          <a:extLst>
            <a:ext uri="{FF2B5EF4-FFF2-40B4-BE49-F238E27FC236}">
              <a16:creationId xmlns:a16="http://schemas.microsoft.com/office/drawing/2014/main" id="{DFCDBC8E-82BC-4229-9456-99C4EA6A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70" name="Picture 70" descr="http://www.abs.gov.au/icons/ecblank.gif">
          <a:extLst>
            <a:ext uri="{FF2B5EF4-FFF2-40B4-BE49-F238E27FC236}">
              <a16:creationId xmlns:a16="http://schemas.microsoft.com/office/drawing/2014/main" id="{4AC0FC89-28E6-4D01-B573-164824F6A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71" name="Picture 71" descr="http://www.abs.gov.au/icons/ecblank.gif">
          <a:extLst>
            <a:ext uri="{FF2B5EF4-FFF2-40B4-BE49-F238E27FC236}">
              <a16:creationId xmlns:a16="http://schemas.microsoft.com/office/drawing/2014/main" id="{310D81B9-FC99-411B-B67C-2A7F75B7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72" name="Picture 72" descr="http://www.abs.gov.au/icons/ecblank.gif">
          <a:extLst>
            <a:ext uri="{FF2B5EF4-FFF2-40B4-BE49-F238E27FC236}">
              <a16:creationId xmlns:a16="http://schemas.microsoft.com/office/drawing/2014/main" id="{38B87579-657F-4978-9636-63E29C6DC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73" name="Picture 73" descr="http://www.abs.gov.au/icons/ecblank.gif">
          <a:extLst>
            <a:ext uri="{FF2B5EF4-FFF2-40B4-BE49-F238E27FC236}">
              <a16:creationId xmlns:a16="http://schemas.microsoft.com/office/drawing/2014/main" id="{BE3359E3-ACF0-40FE-B9C1-662F8477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74" name="Picture 74" descr="http://www.abs.gov.au/icons/ecblank.gif">
          <a:extLst>
            <a:ext uri="{FF2B5EF4-FFF2-40B4-BE49-F238E27FC236}">
              <a16:creationId xmlns:a16="http://schemas.microsoft.com/office/drawing/2014/main" id="{4C52840E-9BC5-4FF8-ADF5-FDA3A4DB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75" name="Picture 75" descr="http://www.abs.gov.au/icons/ecblank.gif">
          <a:extLst>
            <a:ext uri="{FF2B5EF4-FFF2-40B4-BE49-F238E27FC236}">
              <a16:creationId xmlns:a16="http://schemas.microsoft.com/office/drawing/2014/main" id="{6A93B164-44BB-459B-BEF1-9E9862E5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76" name="Picture 76" descr="http://www.abs.gov.au/icons/ecblank.gif">
          <a:extLst>
            <a:ext uri="{FF2B5EF4-FFF2-40B4-BE49-F238E27FC236}">
              <a16:creationId xmlns:a16="http://schemas.microsoft.com/office/drawing/2014/main" id="{34E2A16D-8038-4822-9CE2-BC6BE8870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77" name="Picture 77" descr="http://www.abs.gov.au/icons/ecblank.gif">
          <a:extLst>
            <a:ext uri="{FF2B5EF4-FFF2-40B4-BE49-F238E27FC236}">
              <a16:creationId xmlns:a16="http://schemas.microsoft.com/office/drawing/2014/main" id="{46B43D9A-82F4-4536-B864-9A04A5AFD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78" name="Picture 78" descr="http://www.abs.gov.au/icons/ecblank.gif">
          <a:extLst>
            <a:ext uri="{FF2B5EF4-FFF2-40B4-BE49-F238E27FC236}">
              <a16:creationId xmlns:a16="http://schemas.microsoft.com/office/drawing/2014/main" id="{0936C86E-10BF-4462-A3BD-1A5317E0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95</xdr:row>
      <xdr:rowOff>0</xdr:rowOff>
    </xdr:from>
    <xdr:to>
      <xdr:col>20</xdr:col>
      <xdr:colOff>0</xdr:colOff>
      <xdr:row>95</xdr:row>
      <xdr:rowOff>9525</xdr:rowOff>
    </xdr:to>
    <xdr:pic>
      <xdr:nvPicPr>
        <xdr:cNvPr id="79" name="Picture 79" descr="http://www.abs.gov.au/icons/ecblank.gif">
          <a:extLst>
            <a:ext uri="{FF2B5EF4-FFF2-40B4-BE49-F238E27FC236}">
              <a16:creationId xmlns:a16="http://schemas.microsoft.com/office/drawing/2014/main" id="{E8DB38ED-095A-4944-9E74-F87D5734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59543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80" name="Picture 80" descr="http://www.abs.gov.au/icons/ecblank.gif">
          <a:extLst>
            <a:ext uri="{FF2B5EF4-FFF2-40B4-BE49-F238E27FC236}">
              <a16:creationId xmlns:a16="http://schemas.microsoft.com/office/drawing/2014/main" id="{5B1F6973-643A-42BD-B74F-FB94E32F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79</xdr:row>
      <xdr:rowOff>0</xdr:rowOff>
    </xdr:from>
    <xdr:to>
      <xdr:col>20</xdr:col>
      <xdr:colOff>0</xdr:colOff>
      <xdr:row>79</xdr:row>
      <xdr:rowOff>9525</xdr:rowOff>
    </xdr:to>
    <xdr:pic>
      <xdr:nvPicPr>
        <xdr:cNvPr id="81" name="Picture 81" descr="http://www.abs.gov.au/icons/ecblank.gif">
          <a:extLst>
            <a:ext uri="{FF2B5EF4-FFF2-40B4-BE49-F238E27FC236}">
              <a16:creationId xmlns:a16="http://schemas.microsoft.com/office/drawing/2014/main" id="{EE7F7763-072A-48D0-9451-7EEB85019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487150" y="13363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504825</xdr:colOff>
      <xdr:row>2</xdr:row>
      <xdr:rowOff>152401</xdr:rowOff>
    </xdr:from>
    <xdr:to>
      <xdr:col>59</xdr:col>
      <xdr:colOff>180975</xdr:colOff>
      <xdr:row>20</xdr:row>
      <xdr:rowOff>152400</xdr:rowOff>
    </xdr:to>
    <xdr:graphicFrame macro="">
      <xdr:nvGraphicFramePr>
        <xdr:cNvPr id="82" name="Chart 22">
          <a:extLst>
            <a:ext uri="{FF2B5EF4-FFF2-40B4-BE49-F238E27FC236}">
              <a16:creationId xmlns:a16="http://schemas.microsoft.com/office/drawing/2014/main" id="{202056A5-DD29-41AC-AC27-E65CCE668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47</xdr:col>
      <xdr:colOff>190499</xdr:colOff>
      <xdr:row>91</xdr:row>
      <xdr:rowOff>152400</xdr:rowOff>
    </xdr:from>
    <xdr:to>
      <xdr:col>58</xdr:col>
      <xdr:colOff>504824</xdr:colOff>
      <xdr:row>109</xdr:row>
      <xdr:rowOff>114300</xdr:rowOff>
    </xdr:to>
    <xdr:graphicFrame macro="">
      <xdr:nvGraphicFramePr>
        <xdr:cNvPr id="83" name="Chart 82">
          <a:extLst>
            <a:ext uri="{FF2B5EF4-FFF2-40B4-BE49-F238E27FC236}">
              <a16:creationId xmlns:a16="http://schemas.microsoft.com/office/drawing/2014/main" id="{E35C22D3-BEB9-4D68-B529-73E0DD364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533400</xdr:colOff>
      <xdr:row>23</xdr:row>
      <xdr:rowOff>80962</xdr:rowOff>
    </xdr:from>
    <xdr:to>
      <xdr:col>59</xdr:col>
      <xdr:colOff>152400</xdr:colOff>
      <xdr:row>42</xdr:row>
      <xdr:rowOff>133350</xdr:rowOff>
    </xdr:to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B1A48028-AD2F-4032-BF40-5002613FF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390525</xdr:colOff>
      <xdr:row>68</xdr:row>
      <xdr:rowOff>85725</xdr:rowOff>
    </xdr:from>
    <xdr:to>
      <xdr:col>59</xdr:col>
      <xdr:colOff>9525</xdr:colOff>
      <xdr:row>87</xdr:row>
      <xdr:rowOff>138113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C5AEBA2D-3308-4B08-A311-9A2324C35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48</xdr:col>
      <xdr:colOff>71437</xdr:colOff>
      <xdr:row>48</xdr:row>
      <xdr:rowOff>123825</xdr:rowOff>
    </xdr:from>
    <xdr:to>
      <xdr:col>55</xdr:col>
      <xdr:colOff>376237</xdr:colOff>
      <xdr:row>63</xdr:row>
      <xdr:rowOff>38100</xdr:rowOff>
    </xdr:to>
    <xdr:graphicFrame macro="">
      <xdr:nvGraphicFramePr>
        <xdr:cNvPr id="88" name="Chart 87">
          <a:extLst>
            <a:ext uri="{FF2B5EF4-FFF2-40B4-BE49-F238E27FC236}">
              <a16:creationId xmlns:a16="http://schemas.microsoft.com/office/drawing/2014/main" id="{6EB2179E-CB38-66BD-84E0-FDA8EAA994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pic>
      <xdr:nvPicPr>
        <xdr:cNvPr id="2" name="Picture 1" descr="http://www.abs.gov.au/icons/ecblank.gif">
          <a:extLst>
            <a:ext uri="{FF2B5EF4-FFF2-40B4-BE49-F238E27FC236}">
              <a16:creationId xmlns:a16="http://schemas.microsoft.com/office/drawing/2014/main" id="{7C67818A-6151-4D36-B197-B0D489EB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3048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pic>
      <xdr:nvPicPr>
        <xdr:cNvPr id="3" name="Picture 2" descr="http://www.abs.gov.au/icons/ecblank.gif">
          <a:extLst>
            <a:ext uri="{FF2B5EF4-FFF2-40B4-BE49-F238E27FC236}">
              <a16:creationId xmlns:a16="http://schemas.microsoft.com/office/drawing/2014/main" id="{4081F76D-3BE3-4D05-B1B0-3A7C8AB7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3048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pic>
      <xdr:nvPicPr>
        <xdr:cNvPr id="4" name="Picture 3" descr="http://www.abs.gov.au/icons/ecblank.gif">
          <a:extLst>
            <a:ext uri="{FF2B5EF4-FFF2-40B4-BE49-F238E27FC236}">
              <a16:creationId xmlns:a16="http://schemas.microsoft.com/office/drawing/2014/main" id="{A727327D-C8AB-4787-97AB-5D0DE473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3048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pic>
      <xdr:nvPicPr>
        <xdr:cNvPr id="5" name="Picture 4" descr="http://www.abs.gov.au/icons/ecblank.gif">
          <a:extLst>
            <a:ext uri="{FF2B5EF4-FFF2-40B4-BE49-F238E27FC236}">
              <a16:creationId xmlns:a16="http://schemas.microsoft.com/office/drawing/2014/main" id="{166FA5F0-09FB-442C-9C99-790E1C92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3048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9525</xdr:rowOff>
    </xdr:to>
    <xdr:pic>
      <xdr:nvPicPr>
        <xdr:cNvPr id="6" name="Picture 5" descr="http://www.abs.gov.au/icons/ecblank.gif">
          <a:extLst>
            <a:ext uri="{FF2B5EF4-FFF2-40B4-BE49-F238E27FC236}">
              <a16:creationId xmlns:a16="http://schemas.microsoft.com/office/drawing/2014/main" id="{64C2D699-0F7F-4C2A-BF2B-50EE50A1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8291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9525</xdr:rowOff>
    </xdr:to>
    <xdr:pic>
      <xdr:nvPicPr>
        <xdr:cNvPr id="7" name="Picture 6" descr="http://www.abs.gov.au/icons/ecblank.gif">
          <a:extLst>
            <a:ext uri="{FF2B5EF4-FFF2-40B4-BE49-F238E27FC236}">
              <a16:creationId xmlns:a16="http://schemas.microsoft.com/office/drawing/2014/main" id="{97CF4D50-8F1E-49D1-BC31-C7F3F2CBF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8291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9525</xdr:rowOff>
    </xdr:to>
    <xdr:pic>
      <xdr:nvPicPr>
        <xdr:cNvPr id="8" name="Picture 7" descr="http://www.abs.gov.au/icons/ecblank.gif">
          <a:extLst>
            <a:ext uri="{FF2B5EF4-FFF2-40B4-BE49-F238E27FC236}">
              <a16:creationId xmlns:a16="http://schemas.microsoft.com/office/drawing/2014/main" id="{739052E7-9858-4D7E-AE46-5FD00CAF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8291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9525</xdr:rowOff>
    </xdr:to>
    <xdr:pic>
      <xdr:nvPicPr>
        <xdr:cNvPr id="9" name="Picture 8" descr="http://www.abs.gov.au/icons/ecblank.gif">
          <a:extLst>
            <a:ext uri="{FF2B5EF4-FFF2-40B4-BE49-F238E27FC236}">
              <a16:creationId xmlns:a16="http://schemas.microsoft.com/office/drawing/2014/main" id="{6F9AB44F-578C-4D5E-8D93-C1B6B03DB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8291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9525</xdr:rowOff>
    </xdr:to>
    <xdr:pic>
      <xdr:nvPicPr>
        <xdr:cNvPr id="10" name="Picture 110" descr="http://www.abs.gov.au/icons/ecblank.gif">
          <a:extLst>
            <a:ext uri="{FF2B5EF4-FFF2-40B4-BE49-F238E27FC236}">
              <a16:creationId xmlns:a16="http://schemas.microsoft.com/office/drawing/2014/main" id="{48CF47BD-919B-4218-BDE1-7A5E920D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8291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9525</xdr:rowOff>
    </xdr:to>
    <xdr:pic>
      <xdr:nvPicPr>
        <xdr:cNvPr id="11" name="Picture 111" descr="http://www.abs.gov.au/icons/ecblank.gif">
          <a:extLst>
            <a:ext uri="{FF2B5EF4-FFF2-40B4-BE49-F238E27FC236}">
              <a16:creationId xmlns:a16="http://schemas.microsoft.com/office/drawing/2014/main" id="{7D5988EF-C145-430A-A0CB-F1173632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8291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9525</xdr:rowOff>
    </xdr:to>
    <xdr:pic>
      <xdr:nvPicPr>
        <xdr:cNvPr id="12" name="Picture 11" descr="http://www.abs.gov.au/icons/ecblank.gif">
          <a:extLst>
            <a:ext uri="{FF2B5EF4-FFF2-40B4-BE49-F238E27FC236}">
              <a16:creationId xmlns:a16="http://schemas.microsoft.com/office/drawing/2014/main" id="{58A62AC7-5007-4361-A9A9-614FDE0F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9525</xdr:rowOff>
    </xdr:to>
    <xdr:pic>
      <xdr:nvPicPr>
        <xdr:cNvPr id="13" name="Picture 12" descr="http://www.abs.gov.au/icons/ecblank.gif">
          <a:extLst>
            <a:ext uri="{FF2B5EF4-FFF2-40B4-BE49-F238E27FC236}">
              <a16:creationId xmlns:a16="http://schemas.microsoft.com/office/drawing/2014/main" id="{16DB5DCB-8B7B-4A6E-845D-F93D863D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9525</xdr:rowOff>
    </xdr:to>
    <xdr:pic>
      <xdr:nvPicPr>
        <xdr:cNvPr id="14" name="Picture 13" descr="http://www.abs.gov.au/icons/ecblank.gif">
          <a:extLst>
            <a:ext uri="{FF2B5EF4-FFF2-40B4-BE49-F238E27FC236}">
              <a16:creationId xmlns:a16="http://schemas.microsoft.com/office/drawing/2014/main" id="{2DE10BA0-F7A2-4CCA-9B54-BA2108AC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9525</xdr:rowOff>
    </xdr:to>
    <xdr:pic>
      <xdr:nvPicPr>
        <xdr:cNvPr id="15" name="Picture 14" descr="http://www.abs.gov.au/icons/ecblank.gif">
          <a:extLst>
            <a:ext uri="{FF2B5EF4-FFF2-40B4-BE49-F238E27FC236}">
              <a16:creationId xmlns:a16="http://schemas.microsoft.com/office/drawing/2014/main" id="{3DCED584-64BA-4A89-A358-0E152D71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9525</xdr:rowOff>
    </xdr:to>
    <xdr:pic>
      <xdr:nvPicPr>
        <xdr:cNvPr id="16" name="Picture 110" descr="http://www.abs.gov.au/icons/ecblank.gif">
          <a:extLst>
            <a:ext uri="{FF2B5EF4-FFF2-40B4-BE49-F238E27FC236}">
              <a16:creationId xmlns:a16="http://schemas.microsoft.com/office/drawing/2014/main" id="{60624F65-1578-4460-BDF8-B9C99D54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9525</xdr:rowOff>
    </xdr:to>
    <xdr:pic>
      <xdr:nvPicPr>
        <xdr:cNvPr id="17" name="Picture 111" descr="http://www.abs.gov.au/icons/ecblank.gif">
          <a:extLst>
            <a:ext uri="{FF2B5EF4-FFF2-40B4-BE49-F238E27FC236}">
              <a16:creationId xmlns:a16="http://schemas.microsoft.com/office/drawing/2014/main" id="{34F19AE6-7558-4F3C-8CBD-293C1B5D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9525</xdr:rowOff>
    </xdr:to>
    <xdr:pic>
      <xdr:nvPicPr>
        <xdr:cNvPr id="18" name="Picture 17" descr="http://www.abs.gov.au/icons/ecblank.gif">
          <a:extLst>
            <a:ext uri="{FF2B5EF4-FFF2-40B4-BE49-F238E27FC236}">
              <a16:creationId xmlns:a16="http://schemas.microsoft.com/office/drawing/2014/main" id="{29C378D4-A438-461B-9783-DEAA960B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9525</xdr:rowOff>
    </xdr:to>
    <xdr:pic>
      <xdr:nvPicPr>
        <xdr:cNvPr id="19" name="Picture 18" descr="http://www.abs.gov.au/icons/ecblank.gif">
          <a:extLst>
            <a:ext uri="{FF2B5EF4-FFF2-40B4-BE49-F238E27FC236}">
              <a16:creationId xmlns:a16="http://schemas.microsoft.com/office/drawing/2014/main" id="{187551B4-7D08-4B0B-8447-5E468390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9525</xdr:rowOff>
    </xdr:to>
    <xdr:pic>
      <xdr:nvPicPr>
        <xdr:cNvPr id="20" name="Picture 19" descr="http://www.abs.gov.au/icons/ecblank.gif">
          <a:extLst>
            <a:ext uri="{FF2B5EF4-FFF2-40B4-BE49-F238E27FC236}">
              <a16:creationId xmlns:a16="http://schemas.microsoft.com/office/drawing/2014/main" id="{973D8458-51D7-401C-A843-B8817D26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9525</xdr:rowOff>
    </xdr:to>
    <xdr:pic>
      <xdr:nvPicPr>
        <xdr:cNvPr id="21" name="Picture 20" descr="http://www.abs.gov.au/icons/ecblank.gif">
          <a:extLst>
            <a:ext uri="{FF2B5EF4-FFF2-40B4-BE49-F238E27FC236}">
              <a16:creationId xmlns:a16="http://schemas.microsoft.com/office/drawing/2014/main" id="{CABA0CB4-88C8-4637-9395-0E04391E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9525</xdr:rowOff>
    </xdr:to>
    <xdr:pic>
      <xdr:nvPicPr>
        <xdr:cNvPr id="22" name="Picture 110" descr="http://www.abs.gov.au/icons/ecblank.gif">
          <a:extLst>
            <a:ext uri="{FF2B5EF4-FFF2-40B4-BE49-F238E27FC236}">
              <a16:creationId xmlns:a16="http://schemas.microsoft.com/office/drawing/2014/main" id="{03543396-70B0-413B-950D-4EA7F56F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9525</xdr:rowOff>
    </xdr:to>
    <xdr:pic>
      <xdr:nvPicPr>
        <xdr:cNvPr id="23" name="Picture 111" descr="http://www.abs.gov.au/icons/ecblank.gif">
          <a:extLst>
            <a:ext uri="{FF2B5EF4-FFF2-40B4-BE49-F238E27FC236}">
              <a16:creationId xmlns:a16="http://schemas.microsoft.com/office/drawing/2014/main" id="{2F2B40F7-F414-485F-A98D-C51BB656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1743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9525</xdr:rowOff>
    </xdr:to>
    <xdr:pic>
      <xdr:nvPicPr>
        <xdr:cNvPr id="24" name="Picture 23" descr="http://www.abs.gov.au/icons/ecblank.gif">
          <a:extLst>
            <a:ext uri="{FF2B5EF4-FFF2-40B4-BE49-F238E27FC236}">
              <a16:creationId xmlns:a16="http://schemas.microsoft.com/office/drawing/2014/main" id="{CA5D360B-DB53-4B0E-9398-8408AD8B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105275" y="4343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9525</xdr:rowOff>
    </xdr:to>
    <xdr:pic>
      <xdr:nvPicPr>
        <xdr:cNvPr id="25" name="Picture 24" descr="http://www.abs.gov.au/icons/ecblank.gif">
          <a:extLst>
            <a:ext uri="{FF2B5EF4-FFF2-40B4-BE49-F238E27FC236}">
              <a16:creationId xmlns:a16="http://schemas.microsoft.com/office/drawing/2014/main" id="{6FF3AE80-026D-4C17-81AF-9CA57389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105275" y="4343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26" name="Picture 25" descr="http://www.abs.gov.au/icons/ecblank.gif">
          <a:extLst>
            <a:ext uri="{FF2B5EF4-FFF2-40B4-BE49-F238E27FC236}">
              <a16:creationId xmlns:a16="http://schemas.microsoft.com/office/drawing/2014/main" id="{C7C7481E-806A-4875-90EF-0EADEC54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90900" y="4343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27" name="Picture 26" descr="http://www.abs.gov.au/icons/ecblank.gif">
          <a:extLst>
            <a:ext uri="{FF2B5EF4-FFF2-40B4-BE49-F238E27FC236}">
              <a16:creationId xmlns:a16="http://schemas.microsoft.com/office/drawing/2014/main" id="{0CEF83A6-ECFC-4178-8DDA-F4DB7C32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90900" y="4343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28" name="Picture 27" descr="http://www.abs.gov.au/icons/ecblank.gif">
          <a:extLst>
            <a:ext uri="{FF2B5EF4-FFF2-40B4-BE49-F238E27FC236}">
              <a16:creationId xmlns:a16="http://schemas.microsoft.com/office/drawing/2014/main" id="{9EE719B2-D349-4B71-AE5F-5E6B7AE3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90900" y="4343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29" name="Picture 28" descr="http://www.abs.gov.au/icons/ecblank.gif">
          <a:extLst>
            <a:ext uri="{FF2B5EF4-FFF2-40B4-BE49-F238E27FC236}">
              <a16:creationId xmlns:a16="http://schemas.microsoft.com/office/drawing/2014/main" id="{97C66CD6-7E8E-4C85-AE25-185D8140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90900" y="4343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9525</xdr:rowOff>
    </xdr:to>
    <xdr:pic>
      <xdr:nvPicPr>
        <xdr:cNvPr id="30" name="Picture 29" descr="http://www.abs.gov.au/icons/ecblank.gif">
          <a:extLst>
            <a:ext uri="{FF2B5EF4-FFF2-40B4-BE49-F238E27FC236}">
              <a16:creationId xmlns:a16="http://schemas.microsoft.com/office/drawing/2014/main" id="{ACF64B6B-BF55-4961-BD17-02AE91C9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105275" y="4343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9525</xdr:rowOff>
    </xdr:to>
    <xdr:pic>
      <xdr:nvPicPr>
        <xdr:cNvPr id="31" name="Picture 30" descr="http://www.abs.gov.au/icons/ecblank.gif">
          <a:extLst>
            <a:ext uri="{FF2B5EF4-FFF2-40B4-BE49-F238E27FC236}">
              <a16:creationId xmlns:a16="http://schemas.microsoft.com/office/drawing/2014/main" id="{7967BFC2-6252-4001-A286-E8515DD3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4105275" y="4343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32" name="Picture 110" descr="http://www.abs.gov.au/icons/ecblank.gif">
          <a:extLst>
            <a:ext uri="{FF2B5EF4-FFF2-40B4-BE49-F238E27FC236}">
              <a16:creationId xmlns:a16="http://schemas.microsoft.com/office/drawing/2014/main" id="{A23F2AAB-E030-4FAB-BC80-F2C9ACAC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90900" y="4343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9525</xdr:rowOff>
    </xdr:to>
    <xdr:pic>
      <xdr:nvPicPr>
        <xdr:cNvPr id="33" name="Picture 111" descr="http://www.abs.gov.au/icons/ecblank.gif">
          <a:extLst>
            <a:ext uri="{FF2B5EF4-FFF2-40B4-BE49-F238E27FC236}">
              <a16:creationId xmlns:a16="http://schemas.microsoft.com/office/drawing/2014/main" id="{00B9219D-3816-4F06-98C1-FC342396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90900" y="4343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9525</xdr:rowOff>
    </xdr:to>
    <xdr:pic>
      <xdr:nvPicPr>
        <xdr:cNvPr id="34" name="Picture 33" descr="http://www.abs.gov.au/icons/ecblank.gif">
          <a:extLst>
            <a:ext uri="{FF2B5EF4-FFF2-40B4-BE49-F238E27FC236}">
              <a16:creationId xmlns:a16="http://schemas.microsoft.com/office/drawing/2014/main" id="{BC627E97-A6A0-4067-9656-2F32CB0A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9525</xdr:rowOff>
    </xdr:to>
    <xdr:pic>
      <xdr:nvPicPr>
        <xdr:cNvPr id="35" name="Picture 34" descr="http://www.abs.gov.au/icons/ecblank.gif">
          <a:extLst>
            <a:ext uri="{FF2B5EF4-FFF2-40B4-BE49-F238E27FC236}">
              <a16:creationId xmlns:a16="http://schemas.microsoft.com/office/drawing/2014/main" id="{25E7D981-7D88-4E70-9072-5FC990BF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9525</xdr:rowOff>
    </xdr:to>
    <xdr:pic>
      <xdr:nvPicPr>
        <xdr:cNvPr id="36" name="Picture 35" descr="http://www.abs.gov.au/icons/ecblank.gif">
          <a:extLst>
            <a:ext uri="{FF2B5EF4-FFF2-40B4-BE49-F238E27FC236}">
              <a16:creationId xmlns:a16="http://schemas.microsoft.com/office/drawing/2014/main" id="{9FB772EE-048C-48AA-9BD8-06F02E11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9525</xdr:rowOff>
    </xdr:to>
    <xdr:pic>
      <xdr:nvPicPr>
        <xdr:cNvPr id="37" name="Picture 36" descr="http://www.abs.gov.au/icons/ecblank.gif">
          <a:extLst>
            <a:ext uri="{FF2B5EF4-FFF2-40B4-BE49-F238E27FC236}">
              <a16:creationId xmlns:a16="http://schemas.microsoft.com/office/drawing/2014/main" id="{F2241D1D-911B-4FDF-93D7-53879740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9525</xdr:rowOff>
    </xdr:to>
    <xdr:pic>
      <xdr:nvPicPr>
        <xdr:cNvPr id="38" name="Picture 110" descr="http://www.abs.gov.au/icons/ecblank.gif">
          <a:extLst>
            <a:ext uri="{FF2B5EF4-FFF2-40B4-BE49-F238E27FC236}">
              <a16:creationId xmlns:a16="http://schemas.microsoft.com/office/drawing/2014/main" id="{D09837CA-931F-49DC-9AB6-9434B859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9525</xdr:rowOff>
    </xdr:to>
    <xdr:pic>
      <xdr:nvPicPr>
        <xdr:cNvPr id="39" name="Picture 111" descr="http://www.abs.gov.au/icons/ecblank.gif">
          <a:extLst>
            <a:ext uri="{FF2B5EF4-FFF2-40B4-BE49-F238E27FC236}">
              <a16:creationId xmlns:a16="http://schemas.microsoft.com/office/drawing/2014/main" id="{88045085-E137-44A1-813E-4FA820CD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7652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9525</xdr:rowOff>
    </xdr:to>
    <xdr:pic>
      <xdr:nvPicPr>
        <xdr:cNvPr id="40" name="Picture 39" descr="http://www.abs.gov.au/icons/ecblank.gif">
          <a:extLst>
            <a:ext uri="{FF2B5EF4-FFF2-40B4-BE49-F238E27FC236}">
              <a16:creationId xmlns:a16="http://schemas.microsoft.com/office/drawing/2014/main" id="{8A223858-00DD-4B5C-83F2-E5A484735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9525</xdr:rowOff>
    </xdr:to>
    <xdr:pic>
      <xdr:nvPicPr>
        <xdr:cNvPr id="41" name="Picture 40" descr="http://www.abs.gov.au/icons/ecblank.gif">
          <a:extLst>
            <a:ext uri="{FF2B5EF4-FFF2-40B4-BE49-F238E27FC236}">
              <a16:creationId xmlns:a16="http://schemas.microsoft.com/office/drawing/2014/main" id="{33C528F1-8AC8-4FAA-93C2-A8B0826E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9525</xdr:rowOff>
    </xdr:to>
    <xdr:pic>
      <xdr:nvPicPr>
        <xdr:cNvPr id="42" name="Picture 41" descr="http://www.abs.gov.au/icons/ecblank.gif">
          <a:extLst>
            <a:ext uri="{FF2B5EF4-FFF2-40B4-BE49-F238E27FC236}">
              <a16:creationId xmlns:a16="http://schemas.microsoft.com/office/drawing/2014/main" id="{40EC21EA-6263-471B-88E1-68FFACA2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9525</xdr:rowOff>
    </xdr:to>
    <xdr:pic>
      <xdr:nvPicPr>
        <xdr:cNvPr id="43" name="Picture 42" descr="http://www.abs.gov.au/icons/ecblank.gif">
          <a:extLst>
            <a:ext uri="{FF2B5EF4-FFF2-40B4-BE49-F238E27FC236}">
              <a16:creationId xmlns:a16="http://schemas.microsoft.com/office/drawing/2014/main" id="{2CB8C118-36F0-4121-B0BD-713D6E00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9525</xdr:rowOff>
    </xdr:to>
    <xdr:pic>
      <xdr:nvPicPr>
        <xdr:cNvPr id="44" name="Picture 110" descr="http://www.abs.gov.au/icons/ecblank.gif">
          <a:extLst>
            <a:ext uri="{FF2B5EF4-FFF2-40B4-BE49-F238E27FC236}">
              <a16:creationId xmlns:a16="http://schemas.microsoft.com/office/drawing/2014/main" id="{D744DCD2-1508-44A4-AD50-1B053B71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9525</xdr:rowOff>
    </xdr:to>
    <xdr:pic>
      <xdr:nvPicPr>
        <xdr:cNvPr id="45" name="Picture 111" descr="http://www.abs.gov.au/icons/ecblank.gif">
          <a:extLst>
            <a:ext uri="{FF2B5EF4-FFF2-40B4-BE49-F238E27FC236}">
              <a16:creationId xmlns:a16="http://schemas.microsoft.com/office/drawing/2014/main" id="{00DB7212-2AB7-4EF7-B650-0D3CA4D92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53275" y="45053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on White" id="{205C2629-75ED-4B90-90CD-61F51D8F2ECC}" userId="S::Ron.White@epa.nsw.gov.au::53e2dcfa-ceee-4f9b-85ed-04b6b0bf4c07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6" dT="2022-04-28T01:11:18.36" personId="{205C2629-75ED-4B90-90CD-61F51D8F2ECC}" id="{90F08FD8-4ED3-4972-B8CB-476BC6A02147}">
    <text>New MSWA 2022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96" dT="2022-04-28T01:11:18.36" personId="{205C2629-75ED-4B90-90CD-61F51D8F2ECC}" id="{083C553F-9521-479B-A9ED-D556B4A4C6D2}">
    <text>New MSWA 2022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97" dT="2022-04-28T01:11:18.36" personId="{205C2629-75ED-4B90-90CD-61F51D8F2ECC}" id="{5A5E0139-F5D2-42A5-8E92-31E74DE79B4D}">
    <text>New MSWA 2022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96" dT="2022-04-28T01:11:18.36" personId="{205C2629-75ED-4B90-90CD-61F51D8F2ECC}" id="{4EFA8666-3D52-40EC-B274-AAE9053ADD60}">
    <text>New MSWA 2022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96" dT="2022-04-28T01:11:18.36" personId="{205C2629-75ED-4B90-90CD-61F51D8F2ECC}" id="{A61F2C1E-C999-4BDD-96A7-BF434C2C0586}">
    <text>New MSWA 2022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96" dT="2022-04-28T01:11:18.36" personId="{205C2629-75ED-4B90-90CD-61F51D8F2ECC}" id="{897FE04B-EF86-4F5A-BB30-E4D3DC3F1972}">
    <text>New MSWA 2022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C95" dT="2022-04-28T01:11:18.36" personId="{205C2629-75ED-4B90-90CD-61F51D8F2ECC}" id="{06A93AB1-5ABF-46E8-AD94-6F92FC0997B5}">
    <text>New MSWA 2022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C95" dT="2022-04-28T01:11:18.36" personId="{205C2629-75ED-4B90-90CD-61F51D8F2ECC}" id="{D4CF68C9-379B-4226-85AC-52992D577062}">
    <text>New MSWA 2022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hyperlink" Target="http://www.bom.gov.au/cgi-bin/climate/change/timeseries.cgi?graph=rain&amp;area=nsw&amp;season=0706&amp;ave_yr=5" TargetMode="External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4" Type="http://schemas.microsoft.com/office/2017/10/relationships/threadedComment" Target="../threadedComments/threadedComment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7.xml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8.xml"/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83"/>
  <sheetViews>
    <sheetView workbookViewId="0">
      <pane xSplit="4" ySplit="3" topLeftCell="E4" activePane="bottomRight" state="frozen"/>
      <selection activeCell="Y142" sqref="Y142"/>
      <selection pane="topRight" activeCell="Y142" sqref="Y142"/>
      <selection pane="bottomLeft" activeCell="Y142" sqref="Y142"/>
      <selection pane="bottomRight" activeCell="G3" sqref="G3"/>
    </sheetView>
  </sheetViews>
  <sheetFormatPr defaultRowHeight="12.75" x14ac:dyDescent="0.2"/>
  <cols>
    <col min="1" max="1" width="14.140625" bestFit="1" customWidth="1"/>
    <col min="2" max="2" width="23.140625" style="72" bestFit="1" customWidth="1"/>
    <col min="3" max="3" width="14.7109375" style="30" bestFit="1" customWidth="1"/>
    <col min="4" max="4" width="3.85546875" style="30" bestFit="1" customWidth="1"/>
    <col min="5" max="5" width="7.28515625" style="5" bestFit="1" customWidth="1"/>
    <col min="6" max="6" width="9.28515625" style="24" bestFit="1" customWidth="1"/>
    <col min="7" max="7" width="10.42578125" style="24" bestFit="1" customWidth="1"/>
    <col min="8" max="8" width="8.7109375" style="24" bestFit="1" customWidth="1"/>
    <col min="9" max="9" width="11.85546875" style="24" customWidth="1"/>
    <col min="10" max="10" width="11.5703125" style="24" bestFit="1" customWidth="1"/>
    <col min="11" max="11" width="10.7109375" style="24" customWidth="1"/>
    <col min="12" max="12" width="8.140625" bestFit="1" customWidth="1"/>
    <col min="13" max="14" width="10.7109375" customWidth="1"/>
    <col min="15" max="15" width="18.42578125" customWidth="1"/>
    <col min="16" max="18" width="10.7109375" customWidth="1"/>
  </cols>
  <sheetData>
    <row r="1" spans="1:18" ht="53.25" customHeight="1" x14ac:dyDescent="0.25">
      <c r="A1" s="567"/>
      <c r="B1" s="566" t="s">
        <v>440</v>
      </c>
      <c r="C1" s="30" t="s">
        <v>541</v>
      </c>
      <c r="E1" s="87"/>
      <c r="F1" s="569" t="s">
        <v>449</v>
      </c>
      <c r="G1" s="87"/>
      <c r="H1" s="87"/>
      <c r="I1" s="627"/>
      <c r="J1" s="627"/>
      <c r="K1" s="627"/>
      <c r="L1" s="87"/>
      <c r="M1" s="623"/>
      <c r="N1" s="623"/>
      <c r="O1" s="623"/>
      <c r="P1" s="623"/>
      <c r="Q1" s="623"/>
      <c r="R1" s="623"/>
    </row>
    <row r="2" spans="1:18" s="5" customFormat="1" ht="15" customHeight="1" x14ac:dyDescent="0.2">
      <c r="A2" s="37"/>
      <c r="B2" s="37"/>
      <c r="C2" s="37"/>
      <c r="D2" s="37"/>
      <c r="E2" s="37"/>
      <c r="F2" s="37"/>
      <c r="G2" s="37"/>
      <c r="H2" s="37"/>
      <c r="K2" s="37"/>
      <c r="L2" s="37"/>
      <c r="M2" s="667" t="s">
        <v>462</v>
      </c>
      <c r="N2" s="667"/>
      <c r="O2" s="667"/>
      <c r="P2" s="667"/>
      <c r="Q2" s="667"/>
      <c r="R2" s="667"/>
    </row>
    <row r="3" spans="1:18" s="2" customFormat="1" ht="74.25" x14ac:dyDescent="0.2">
      <c r="A3" s="97" t="s">
        <v>34</v>
      </c>
      <c r="B3" s="38" t="s">
        <v>6</v>
      </c>
      <c r="C3" s="38" t="s">
        <v>5</v>
      </c>
      <c r="D3" s="3" t="s">
        <v>14</v>
      </c>
      <c r="E3" s="3" t="s">
        <v>183</v>
      </c>
      <c r="F3" s="39" t="s">
        <v>448</v>
      </c>
      <c r="G3" s="40" t="s">
        <v>180</v>
      </c>
      <c r="H3" s="40" t="s">
        <v>175</v>
      </c>
      <c r="I3" s="40" t="s">
        <v>176</v>
      </c>
      <c r="J3" s="40" t="s">
        <v>181</v>
      </c>
      <c r="K3" s="39" t="s">
        <v>196</v>
      </c>
      <c r="L3" s="39" t="s">
        <v>197</v>
      </c>
      <c r="M3" s="39" t="s">
        <v>198</v>
      </c>
      <c r="N3" s="39" t="s">
        <v>199</v>
      </c>
      <c r="O3" s="39" t="s">
        <v>200</v>
      </c>
      <c r="P3" s="39" t="s">
        <v>201</v>
      </c>
      <c r="Q3" s="39" t="s">
        <v>202</v>
      </c>
      <c r="R3" s="39" t="s">
        <v>203</v>
      </c>
    </row>
    <row r="4" spans="1:18" ht="13.5" thickBot="1" x14ac:dyDescent="0.25">
      <c r="A4" s="41"/>
      <c r="B4" s="41"/>
      <c r="C4" s="41"/>
      <c r="D4" s="41"/>
      <c r="E4" s="41"/>
      <c r="F4" s="89" t="s">
        <v>177</v>
      </c>
      <c r="G4" s="90" t="s">
        <v>43</v>
      </c>
      <c r="H4" s="90" t="s">
        <v>178</v>
      </c>
      <c r="I4" s="88" t="s">
        <v>179</v>
      </c>
      <c r="J4" s="88" t="s">
        <v>195</v>
      </c>
      <c r="K4" s="108" t="s">
        <v>406</v>
      </c>
      <c r="L4" s="108"/>
      <c r="M4" s="108"/>
      <c r="N4" s="108"/>
      <c r="O4" s="108"/>
      <c r="P4" s="108"/>
      <c r="Q4" s="108"/>
      <c r="R4" s="90"/>
    </row>
    <row r="5" spans="1:18" ht="13.5" thickTop="1" x14ac:dyDescent="0.2">
      <c r="A5" s="9">
        <v>10050</v>
      </c>
      <c r="B5" s="9" t="s">
        <v>71</v>
      </c>
      <c r="C5" s="9" t="s">
        <v>66</v>
      </c>
      <c r="D5" s="29" t="s">
        <v>1</v>
      </c>
      <c r="E5" s="98" t="s">
        <v>184</v>
      </c>
      <c r="F5" s="65">
        <v>57517</v>
      </c>
      <c r="G5" s="568">
        <v>26823</v>
      </c>
      <c r="H5" s="91">
        <f t="shared" ref="H5:H36" si="0">F5/G5</f>
        <v>2.1443164448421133</v>
      </c>
      <c r="I5" s="92">
        <v>305.60000000000002</v>
      </c>
      <c r="J5" s="92">
        <v>188.2</v>
      </c>
      <c r="K5" s="109">
        <v>270</v>
      </c>
      <c r="L5" s="110"/>
      <c r="M5" s="111">
        <v>26062</v>
      </c>
      <c r="N5" s="111">
        <v>26167</v>
      </c>
      <c r="O5" s="111">
        <v>0</v>
      </c>
      <c r="P5" s="111">
        <v>26570</v>
      </c>
      <c r="Q5" s="111">
        <v>0</v>
      </c>
      <c r="R5" s="111">
        <v>26823</v>
      </c>
    </row>
    <row r="6" spans="1:18" x14ac:dyDescent="0.2">
      <c r="A6" s="8">
        <v>10180</v>
      </c>
      <c r="B6" s="8" t="s">
        <v>72</v>
      </c>
      <c r="C6" s="8" t="s">
        <v>16</v>
      </c>
      <c r="D6" s="29" t="s">
        <v>1</v>
      </c>
      <c r="E6" s="98" t="s">
        <v>185</v>
      </c>
      <c r="F6" s="65">
        <v>29594</v>
      </c>
      <c r="G6" s="568">
        <v>13068</v>
      </c>
      <c r="H6" s="91">
        <f t="shared" si="0"/>
        <v>2.2646158555249465</v>
      </c>
      <c r="I6" s="92">
        <v>7809.4</v>
      </c>
      <c r="J6" s="92">
        <v>3.8</v>
      </c>
      <c r="K6" s="109">
        <v>467</v>
      </c>
      <c r="L6" s="110"/>
      <c r="M6" s="111">
        <v>10553</v>
      </c>
      <c r="N6" s="111">
        <v>10228</v>
      </c>
      <c r="O6" s="111">
        <v>0</v>
      </c>
      <c r="P6" s="111">
        <v>10228</v>
      </c>
      <c r="Q6" s="111">
        <v>0</v>
      </c>
      <c r="R6" s="111">
        <v>13068</v>
      </c>
    </row>
    <row r="7" spans="1:18" x14ac:dyDescent="0.2">
      <c r="A7" s="8">
        <v>10250</v>
      </c>
      <c r="B7" s="8" t="s">
        <v>73</v>
      </c>
      <c r="C7" s="8" t="s">
        <v>19</v>
      </c>
      <c r="D7" s="29" t="s">
        <v>3</v>
      </c>
      <c r="E7" s="98" t="s">
        <v>186</v>
      </c>
      <c r="F7" s="65">
        <v>47279</v>
      </c>
      <c r="G7" s="568">
        <v>20986</v>
      </c>
      <c r="H7" s="91">
        <f t="shared" si="0"/>
        <v>2.2528828742971503</v>
      </c>
      <c r="I7" s="92">
        <v>485</v>
      </c>
      <c r="J7" s="92">
        <v>97.5</v>
      </c>
      <c r="K7" s="109">
        <v>437</v>
      </c>
      <c r="L7" s="110"/>
      <c r="M7" s="111">
        <v>17823</v>
      </c>
      <c r="N7" s="111">
        <v>16902</v>
      </c>
      <c r="O7" s="111">
        <v>0</v>
      </c>
      <c r="P7" s="111">
        <v>14395</v>
      </c>
      <c r="Q7" s="111">
        <v>0</v>
      </c>
      <c r="R7" s="111">
        <v>20986</v>
      </c>
    </row>
    <row r="8" spans="1:18" x14ac:dyDescent="0.2">
      <c r="A8" s="8">
        <v>10300</v>
      </c>
      <c r="B8" s="8" t="s">
        <v>74</v>
      </c>
      <c r="C8" s="8" t="s">
        <v>66</v>
      </c>
      <c r="D8" s="29" t="s">
        <v>1</v>
      </c>
      <c r="E8" s="98" t="s">
        <v>187</v>
      </c>
      <c r="F8" s="65">
        <v>2202</v>
      </c>
      <c r="G8" s="568">
        <v>1651</v>
      </c>
      <c r="H8" s="91">
        <f t="shared" si="0"/>
        <v>1.3337371290127196</v>
      </c>
      <c r="I8" s="92">
        <v>21690.7</v>
      </c>
      <c r="J8" s="92">
        <v>0.1</v>
      </c>
      <c r="K8" s="109">
        <v>390</v>
      </c>
      <c r="L8" s="110"/>
      <c r="M8" s="111">
        <v>1055</v>
      </c>
      <c r="N8" s="111">
        <v>0</v>
      </c>
      <c r="O8" s="111">
        <v>0</v>
      </c>
      <c r="P8" s="111">
        <v>0</v>
      </c>
      <c r="Q8" s="111">
        <v>0</v>
      </c>
      <c r="R8" s="111">
        <v>1651</v>
      </c>
    </row>
    <row r="9" spans="1:18" x14ac:dyDescent="0.2">
      <c r="A9" s="8">
        <v>10470</v>
      </c>
      <c r="B9" s="8" t="s">
        <v>75</v>
      </c>
      <c r="C9" s="8" t="s">
        <v>38</v>
      </c>
      <c r="D9" s="29" t="s">
        <v>1</v>
      </c>
      <c r="E9" s="98" t="s">
        <v>188</v>
      </c>
      <c r="F9" s="65">
        <v>44612</v>
      </c>
      <c r="G9" s="568">
        <v>20350</v>
      </c>
      <c r="H9" s="91">
        <f t="shared" si="0"/>
        <v>2.1922358722358721</v>
      </c>
      <c r="I9" s="92">
        <v>3817.9</v>
      </c>
      <c r="J9" s="92">
        <v>11.7</v>
      </c>
      <c r="K9" s="109">
        <v>464</v>
      </c>
      <c r="L9" s="110"/>
      <c r="M9" s="111">
        <v>16910</v>
      </c>
      <c r="N9" s="111">
        <v>15845</v>
      </c>
      <c r="O9" s="111">
        <v>0</v>
      </c>
      <c r="P9" s="111">
        <v>14393</v>
      </c>
      <c r="Q9" s="111">
        <v>0</v>
      </c>
      <c r="R9" s="111">
        <v>20350</v>
      </c>
    </row>
    <row r="10" spans="1:18" x14ac:dyDescent="0.2">
      <c r="A10" s="8">
        <v>10500</v>
      </c>
      <c r="B10" s="8" t="s">
        <v>405</v>
      </c>
      <c r="C10" s="8" t="s">
        <v>17</v>
      </c>
      <c r="D10" s="29" t="s">
        <v>2</v>
      </c>
      <c r="E10" s="98"/>
      <c r="F10" s="65">
        <v>182987</v>
      </c>
      <c r="G10" s="568">
        <v>67952</v>
      </c>
      <c r="H10" s="91">
        <f t="shared" si="0"/>
        <v>2.6928861549328937</v>
      </c>
      <c r="I10" s="92">
        <v>50.6</v>
      </c>
      <c r="J10" s="92">
        <v>3614.9</v>
      </c>
      <c r="K10" s="109">
        <v>527.01</v>
      </c>
      <c r="L10" s="110"/>
      <c r="M10" s="111">
        <v>66656</v>
      </c>
      <c r="N10" s="111">
        <v>64883</v>
      </c>
      <c r="O10" s="111">
        <v>16163</v>
      </c>
      <c r="P10" s="111">
        <v>0</v>
      </c>
      <c r="Q10" s="111">
        <v>67952</v>
      </c>
      <c r="R10" s="111">
        <v>67952</v>
      </c>
    </row>
    <row r="11" spans="1:18" x14ac:dyDescent="0.2">
      <c r="A11" s="8">
        <v>10550</v>
      </c>
      <c r="B11" s="8" t="s">
        <v>76</v>
      </c>
      <c r="C11" s="8" t="s">
        <v>67</v>
      </c>
      <c r="D11" s="29" t="s">
        <v>1</v>
      </c>
      <c r="E11" s="98" t="s">
        <v>67</v>
      </c>
      <c r="F11" s="65">
        <v>36279</v>
      </c>
      <c r="G11" s="568">
        <v>18870</v>
      </c>
      <c r="H11" s="91">
        <f t="shared" si="0"/>
        <v>1.9225755166931637</v>
      </c>
      <c r="I11" s="92">
        <v>6278.5</v>
      </c>
      <c r="J11" s="92">
        <v>5.8</v>
      </c>
      <c r="K11" s="109">
        <v>265.62</v>
      </c>
      <c r="L11" s="110"/>
      <c r="M11" s="111">
        <v>15946</v>
      </c>
      <c r="N11" s="111">
        <v>16213</v>
      </c>
      <c r="O11" s="111">
        <v>0</v>
      </c>
      <c r="P11" s="111">
        <v>12242</v>
      </c>
      <c r="Q11" s="111">
        <v>0</v>
      </c>
      <c r="R11" s="111">
        <v>18870</v>
      </c>
    </row>
    <row r="12" spans="1:18" x14ac:dyDescent="0.2">
      <c r="A12" s="8">
        <v>10600</v>
      </c>
      <c r="B12" s="8" t="s">
        <v>44</v>
      </c>
      <c r="C12" s="8" t="s">
        <v>39</v>
      </c>
      <c r="D12" s="29" t="s">
        <v>3</v>
      </c>
      <c r="E12" s="98" t="s">
        <v>189</v>
      </c>
      <c r="F12" s="65">
        <v>13231</v>
      </c>
      <c r="G12" s="568">
        <v>6366</v>
      </c>
      <c r="H12" s="91">
        <f t="shared" si="0"/>
        <v>2.0783851712221173</v>
      </c>
      <c r="I12" s="92">
        <v>1600.4</v>
      </c>
      <c r="J12" s="92">
        <v>8.3000000000000007</v>
      </c>
      <c r="K12" s="109">
        <v>802</v>
      </c>
      <c r="L12" s="110"/>
      <c r="M12" s="111">
        <v>8240</v>
      </c>
      <c r="N12" s="111">
        <v>4120</v>
      </c>
      <c r="O12" s="111">
        <v>0</v>
      </c>
      <c r="P12" s="111">
        <v>4120</v>
      </c>
      <c r="Q12" s="111">
        <v>6366</v>
      </c>
      <c r="R12" s="111">
        <v>6366</v>
      </c>
    </row>
    <row r="13" spans="1:18" x14ac:dyDescent="0.2">
      <c r="A13" s="8">
        <v>10650</v>
      </c>
      <c r="B13" s="8" t="s">
        <v>77</v>
      </c>
      <c r="C13" s="8" t="s">
        <v>66</v>
      </c>
      <c r="D13" s="29" t="s">
        <v>1</v>
      </c>
      <c r="E13" s="98" t="s">
        <v>184</v>
      </c>
      <c r="F13" s="65">
        <v>8643</v>
      </c>
      <c r="G13" s="568">
        <v>5516</v>
      </c>
      <c r="H13" s="91">
        <f t="shared" si="0"/>
        <v>1.5668963016678752</v>
      </c>
      <c r="I13" s="92">
        <v>2065.9</v>
      </c>
      <c r="J13" s="92">
        <v>4.2</v>
      </c>
      <c r="K13" s="109">
        <v>339</v>
      </c>
      <c r="L13" s="110"/>
      <c r="M13" s="111">
        <v>3331</v>
      </c>
      <c r="N13" s="111">
        <v>3127</v>
      </c>
      <c r="O13" s="111">
        <v>0</v>
      </c>
      <c r="P13" s="111">
        <v>0</v>
      </c>
      <c r="Q13" s="111">
        <v>0</v>
      </c>
      <c r="R13" s="111">
        <v>5516</v>
      </c>
    </row>
    <row r="14" spans="1:18" x14ac:dyDescent="0.2">
      <c r="A14" s="8">
        <v>10750</v>
      </c>
      <c r="B14" s="8" t="s">
        <v>45</v>
      </c>
      <c r="C14" s="8" t="s">
        <v>18</v>
      </c>
      <c r="D14" s="29" t="s">
        <v>2</v>
      </c>
      <c r="E14" s="98"/>
      <c r="F14" s="65">
        <v>426202</v>
      </c>
      <c r="G14" s="568">
        <v>155045</v>
      </c>
      <c r="H14" s="91">
        <f t="shared" si="0"/>
        <v>2.7488922570866521</v>
      </c>
      <c r="I14" s="92">
        <v>238.8</v>
      </c>
      <c r="J14" s="92">
        <v>1784.4</v>
      </c>
      <c r="K14" s="109">
        <v>602</v>
      </c>
      <c r="L14" s="110"/>
      <c r="M14" s="111">
        <v>122725</v>
      </c>
      <c r="N14" s="111">
        <v>122725</v>
      </c>
      <c r="O14" s="111">
        <v>0</v>
      </c>
      <c r="P14" s="111">
        <v>0</v>
      </c>
      <c r="Q14" s="111">
        <v>155045</v>
      </c>
      <c r="R14" s="111">
        <v>155045</v>
      </c>
    </row>
    <row r="15" spans="1:18" x14ac:dyDescent="0.2">
      <c r="A15" s="8">
        <v>10800</v>
      </c>
      <c r="B15" s="8" t="s">
        <v>78</v>
      </c>
      <c r="C15" s="8" t="s">
        <v>21</v>
      </c>
      <c r="D15" s="29" t="s">
        <v>1</v>
      </c>
      <c r="E15" s="98" t="s">
        <v>190</v>
      </c>
      <c r="F15" s="65">
        <v>5464</v>
      </c>
      <c r="G15" s="568">
        <v>4406</v>
      </c>
      <c r="H15" s="91">
        <f t="shared" si="0"/>
        <v>1.2401270994098956</v>
      </c>
      <c r="I15" s="92">
        <v>8557.7000000000007</v>
      </c>
      <c r="J15" s="92">
        <v>0.6</v>
      </c>
      <c r="K15" s="109">
        <v>481</v>
      </c>
      <c r="L15" s="110"/>
      <c r="M15" s="111">
        <v>1982</v>
      </c>
      <c r="N15" s="111">
        <v>0</v>
      </c>
      <c r="O15" s="111">
        <v>0</v>
      </c>
      <c r="P15" s="111">
        <v>0</v>
      </c>
      <c r="Q15" s="111">
        <v>0</v>
      </c>
      <c r="R15" s="111">
        <v>4406</v>
      </c>
    </row>
    <row r="16" spans="1:18" x14ac:dyDescent="0.2">
      <c r="A16" s="8">
        <v>10850</v>
      </c>
      <c r="B16" s="8" t="s">
        <v>79</v>
      </c>
      <c r="C16" s="8" t="s">
        <v>38</v>
      </c>
      <c r="D16" s="29" t="s">
        <v>1</v>
      </c>
      <c r="E16" s="98" t="s">
        <v>188</v>
      </c>
      <c r="F16" s="65">
        <v>7644</v>
      </c>
      <c r="G16" s="568">
        <v>4379</v>
      </c>
      <c r="H16" s="91">
        <f t="shared" si="0"/>
        <v>1.7456040191824618</v>
      </c>
      <c r="I16" s="92">
        <v>1524.6</v>
      </c>
      <c r="J16" s="92">
        <v>5</v>
      </c>
      <c r="K16" s="109">
        <v>348</v>
      </c>
      <c r="L16" s="110"/>
      <c r="M16" s="111">
        <v>2687</v>
      </c>
      <c r="N16" s="111">
        <v>2730</v>
      </c>
      <c r="O16" s="111">
        <v>0</v>
      </c>
      <c r="P16" s="111">
        <v>0</v>
      </c>
      <c r="Q16" s="111">
        <v>4379</v>
      </c>
      <c r="R16" s="111">
        <v>4379</v>
      </c>
    </row>
    <row r="17" spans="1:18" x14ac:dyDescent="0.2">
      <c r="A17" s="8">
        <v>10900</v>
      </c>
      <c r="B17" s="8" t="s">
        <v>80</v>
      </c>
      <c r="C17" s="8" t="s">
        <v>18</v>
      </c>
      <c r="D17" s="29" t="s">
        <v>3</v>
      </c>
      <c r="E17" s="98"/>
      <c r="F17" s="65">
        <v>78446</v>
      </c>
      <c r="G17" s="568">
        <v>36451</v>
      </c>
      <c r="H17" s="91">
        <f t="shared" si="0"/>
        <v>2.1520945927409398</v>
      </c>
      <c r="I17" s="92">
        <v>1431.1</v>
      </c>
      <c r="J17" s="92">
        <v>54.8</v>
      </c>
      <c r="K17" s="109">
        <v>496</v>
      </c>
      <c r="L17" s="110"/>
      <c r="M17" s="111">
        <v>33929</v>
      </c>
      <c r="N17" s="111">
        <v>33725</v>
      </c>
      <c r="O17" s="111">
        <v>101145</v>
      </c>
      <c r="P17" s="111">
        <v>0</v>
      </c>
      <c r="Q17" s="111">
        <v>36451</v>
      </c>
      <c r="R17" s="111">
        <v>36451</v>
      </c>
    </row>
    <row r="18" spans="1:18" x14ac:dyDescent="0.2">
      <c r="A18" s="8">
        <v>10950</v>
      </c>
      <c r="B18" s="8" t="s">
        <v>81</v>
      </c>
      <c r="C18" s="8" t="s">
        <v>38</v>
      </c>
      <c r="D18" s="29" t="s">
        <v>1</v>
      </c>
      <c r="E18" s="98" t="s">
        <v>191</v>
      </c>
      <c r="F18" s="65">
        <v>2420</v>
      </c>
      <c r="G18" s="568">
        <v>2137</v>
      </c>
      <c r="H18" s="91">
        <f t="shared" si="0"/>
        <v>1.1324286382779598</v>
      </c>
      <c r="I18" s="92">
        <v>14599.9</v>
      </c>
      <c r="J18" s="92">
        <v>0.2</v>
      </c>
      <c r="K18" s="109">
        <v>511</v>
      </c>
      <c r="L18" s="110"/>
      <c r="M18" s="111">
        <v>1038</v>
      </c>
      <c r="N18" s="111">
        <v>898</v>
      </c>
      <c r="O18" s="111">
        <v>0</v>
      </c>
      <c r="P18" s="111">
        <v>0</v>
      </c>
      <c r="Q18" s="111">
        <v>0</v>
      </c>
      <c r="R18" s="111">
        <v>2137</v>
      </c>
    </row>
    <row r="19" spans="1:18" x14ac:dyDescent="0.2">
      <c r="A19" s="8">
        <v>11150</v>
      </c>
      <c r="B19" s="8" t="s">
        <v>82</v>
      </c>
      <c r="C19" s="8" t="s">
        <v>38</v>
      </c>
      <c r="D19" s="29" t="s">
        <v>1</v>
      </c>
      <c r="E19" s="98" t="s">
        <v>192</v>
      </c>
      <c r="F19" s="65">
        <v>2365</v>
      </c>
      <c r="G19" s="568">
        <v>1029</v>
      </c>
      <c r="H19" s="91">
        <f t="shared" si="0"/>
        <v>2.2983479105928084</v>
      </c>
      <c r="I19" s="92">
        <v>41598.400000000001</v>
      </c>
      <c r="J19" s="92">
        <v>0.1</v>
      </c>
      <c r="K19" s="109">
        <v>288</v>
      </c>
      <c r="L19" s="110"/>
      <c r="M19" s="111">
        <v>963</v>
      </c>
      <c r="N19" s="111">
        <v>0</v>
      </c>
      <c r="O19" s="111">
        <v>0</v>
      </c>
      <c r="P19" s="111">
        <v>0</v>
      </c>
      <c r="Q19" s="111">
        <v>0</v>
      </c>
      <c r="R19" s="111">
        <v>0</v>
      </c>
    </row>
    <row r="20" spans="1:18" x14ac:dyDescent="0.2">
      <c r="A20" s="8">
        <v>11200</v>
      </c>
      <c r="B20" s="8" t="s">
        <v>83</v>
      </c>
      <c r="C20" s="8" t="s">
        <v>38</v>
      </c>
      <c r="D20" s="29" t="s">
        <v>1</v>
      </c>
      <c r="E20" s="98"/>
      <c r="F20" s="65">
        <v>1411</v>
      </c>
      <c r="G20" s="568">
        <v>734</v>
      </c>
      <c r="H20" s="91">
        <f t="shared" si="0"/>
        <v>1.9223433242506811</v>
      </c>
      <c r="I20" s="92">
        <v>19162</v>
      </c>
      <c r="J20" s="92">
        <v>0.1</v>
      </c>
      <c r="K20" s="109">
        <v>460</v>
      </c>
      <c r="L20" s="112" t="s">
        <v>456</v>
      </c>
      <c r="M20" s="111">
        <v>461</v>
      </c>
      <c r="N20" s="111">
        <v>0</v>
      </c>
      <c r="O20" s="111">
        <v>0</v>
      </c>
      <c r="P20" s="111">
        <v>0</v>
      </c>
      <c r="Q20" s="111">
        <v>0</v>
      </c>
      <c r="R20" s="111">
        <v>734</v>
      </c>
    </row>
    <row r="21" spans="1:18" x14ac:dyDescent="0.2">
      <c r="A21" s="8">
        <v>11250</v>
      </c>
      <c r="B21" s="8" t="s">
        <v>84</v>
      </c>
      <c r="C21" s="8" t="s">
        <v>38</v>
      </c>
      <c r="D21" s="29" t="s">
        <v>1</v>
      </c>
      <c r="E21" s="98" t="s">
        <v>187</v>
      </c>
      <c r="F21" s="65">
        <v>17624</v>
      </c>
      <c r="G21" s="568">
        <v>10578</v>
      </c>
      <c r="H21" s="91">
        <f t="shared" si="0"/>
        <v>1.6660994516921914</v>
      </c>
      <c r="I21" s="92">
        <v>170.1</v>
      </c>
      <c r="J21" s="92">
        <v>103.6</v>
      </c>
      <c r="K21" s="109">
        <v>352</v>
      </c>
      <c r="L21" s="110"/>
      <c r="M21" s="111">
        <v>10017</v>
      </c>
      <c r="N21" s="111">
        <v>0</v>
      </c>
      <c r="O21" s="111">
        <v>0</v>
      </c>
      <c r="P21" s="111">
        <v>9654</v>
      </c>
      <c r="Q21" s="111">
        <v>0</v>
      </c>
      <c r="R21" s="111">
        <v>10578</v>
      </c>
    </row>
    <row r="22" spans="1:18" x14ac:dyDescent="0.2">
      <c r="A22" s="8">
        <v>11300</v>
      </c>
      <c r="B22" s="8" t="s">
        <v>85</v>
      </c>
      <c r="C22" s="8" t="s">
        <v>17</v>
      </c>
      <c r="D22" s="29" t="s">
        <v>2</v>
      </c>
      <c r="E22" s="98"/>
      <c r="F22" s="65">
        <v>42498</v>
      </c>
      <c r="G22" s="568">
        <v>14954</v>
      </c>
      <c r="H22" s="91">
        <f t="shared" si="0"/>
        <v>2.8419152066336766</v>
      </c>
      <c r="I22" s="92">
        <v>7.1</v>
      </c>
      <c r="J22" s="92">
        <v>5962</v>
      </c>
      <c r="K22" s="109">
        <v>547.75</v>
      </c>
      <c r="L22" s="110"/>
      <c r="M22" s="111">
        <v>14871</v>
      </c>
      <c r="N22" s="111">
        <v>14869</v>
      </c>
      <c r="O22" s="111">
        <v>14209</v>
      </c>
      <c r="P22" s="111">
        <v>660</v>
      </c>
      <c r="Q22" s="111">
        <v>14954</v>
      </c>
      <c r="R22" s="111">
        <v>14954</v>
      </c>
    </row>
    <row r="23" spans="1:18" x14ac:dyDescent="0.2">
      <c r="A23" s="8">
        <v>11350</v>
      </c>
      <c r="B23" s="8" t="s">
        <v>86</v>
      </c>
      <c r="C23" s="8" t="s">
        <v>19</v>
      </c>
      <c r="D23" s="29" t="s">
        <v>3</v>
      </c>
      <c r="E23" s="98" t="s">
        <v>186</v>
      </c>
      <c r="F23" s="65">
        <v>37126</v>
      </c>
      <c r="G23" s="568">
        <v>14717</v>
      </c>
      <c r="H23" s="91">
        <f t="shared" si="0"/>
        <v>2.5226608683835021</v>
      </c>
      <c r="I23" s="92">
        <v>565.79999999999995</v>
      </c>
      <c r="J23" s="92">
        <v>65.599999999999994</v>
      </c>
      <c r="K23" s="109">
        <v>533</v>
      </c>
      <c r="L23" s="110"/>
      <c r="M23" s="111">
        <v>15120</v>
      </c>
      <c r="N23" s="111">
        <v>14343</v>
      </c>
      <c r="O23" s="111">
        <v>0</v>
      </c>
      <c r="P23" s="111">
        <v>11625</v>
      </c>
      <c r="Q23" s="111">
        <v>14717</v>
      </c>
      <c r="R23" s="111">
        <v>14717</v>
      </c>
    </row>
    <row r="24" spans="1:18" x14ac:dyDescent="0.2">
      <c r="A24" s="8">
        <v>11400</v>
      </c>
      <c r="B24" s="8" t="s">
        <v>87</v>
      </c>
      <c r="C24" s="8" t="s">
        <v>38</v>
      </c>
      <c r="D24" s="29" t="s">
        <v>1</v>
      </c>
      <c r="E24" s="98" t="s">
        <v>188</v>
      </c>
      <c r="F24" s="65">
        <v>13880</v>
      </c>
      <c r="G24" s="568">
        <v>7451</v>
      </c>
      <c r="H24" s="91">
        <f t="shared" si="0"/>
        <v>1.862837203059992</v>
      </c>
      <c r="I24" s="92">
        <v>6022.3</v>
      </c>
      <c r="J24" s="92">
        <v>2.2999999999999998</v>
      </c>
      <c r="K24" s="109">
        <v>419.6</v>
      </c>
      <c r="L24" s="110"/>
      <c r="M24" s="111">
        <v>3767</v>
      </c>
      <c r="N24" s="111">
        <v>3767</v>
      </c>
      <c r="O24" s="111">
        <v>0</v>
      </c>
      <c r="P24" s="111">
        <v>0</v>
      </c>
      <c r="Q24" s="111">
        <v>7451</v>
      </c>
      <c r="R24" s="111">
        <v>7451</v>
      </c>
    </row>
    <row r="25" spans="1:18" x14ac:dyDescent="0.2">
      <c r="A25" s="8">
        <v>11450</v>
      </c>
      <c r="B25" s="8" t="s">
        <v>69</v>
      </c>
      <c r="C25" s="8" t="s">
        <v>182</v>
      </c>
      <c r="D25" s="29" t="s">
        <v>2</v>
      </c>
      <c r="E25" s="98"/>
      <c r="F25" s="65">
        <v>134811</v>
      </c>
      <c r="G25" s="568">
        <v>44583</v>
      </c>
      <c r="H25" s="91">
        <f t="shared" si="0"/>
        <v>3.0238207388466454</v>
      </c>
      <c r="I25" s="92">
        <v>201.5</v>
      </c>
      <c r="J25" s="92">
        <v>668.9</v>
      </c>
      <c r="K25" s="109">
        <v>384</v>
      </c>
      <c r="L25" s="110"/>
      <c r="M25" s="111">
        <v>40718</v>
      </c>
      <c r="N25" s="111">
        <v>40131</v>
      </c>
      <c r="O25" s="111">
        <v>37952</v>
      </c>
      <c r="P25" s="111">
        <v>0</v>
      </c>
      <c r="Q25" s="111">
        <v>44583</v>
      </c>
      <c r="R25" s="111">
        <v>44583</v>
      </c>
    </row>
    <row r="26" spans="1:18" x14ac:dyDescent="0.2">
      <c r="A26" s="8">
        <v>11500</v>
      </c>
      <c r="B26" s="8" t="s">
        <v>46</v>
      </c>
      <c r="C26" s="8" t="s">
        <v>182</v>
      </c>
      <c r="D26" s="29" t="s">
        <v>2</v>
      </c>
      <c r="E26" s="98"/>
      <c r="F26" s="65">
        <v>184784</v>
      </c>
      <c r="G26" s="568">
        <v>62430</v>
      </c>
      <c r="H26" s="91">
        <f t="shared" si="0"/>
        <v>2.9598590421271824</v>
      </c>
      <c r="I26" s="92">
        <v>311.39999999999998</v>
      </c>
      <c r="J26" s="92">
        <v>593.4</v>
      </c>
      <c r="K26" s="109">
        <v>417.76</v>
      </c>
      <c r="L26" s="110"/>
      <c r="M26" s="111">
        <v>60300</v>
      </c>
      <c r="N26" s="111">
        <v>59910</v>
      </c>
      <c r="O26" s="111">
        <v>57664</v>
      </c>
      <c r="P26" s="111">
        <v>0</v>
      </c>
      <c r="Q26" s="111">
        <v>62430</v>
      </c>
      <c r="R26" s="111">
        <v>62430</v>
      </c>
    </row>
    <row r="27" spans="1:18" x14ac:dyDescent="0.2">
      <c r="A27" s="8">
        <v>11520</v>
      </c>
      <c r="B27" s="8" t="s">
        <v>88</v>
      </c>
      <c r="C27" s="8" t="s">
        <v>17</v>
      </c>
      <c r="D27" s="29" t="s">
        <v>2</v>
      </c>
      <c r="E27" s="98"/>
      <c r="F27" s="65">
        <v>91385</v>
      </c>
      <c r="G27" s="568">
        <v>38402</v>
      </c>
      <c r="H27" s="91">
        <f t="shared" si="0"/>
        <v>2.37969376594969</v>
      </c>
      <c r="I27" s="92">
        <v>19.899999999999999</v>
      </c>
      <c r="J27" s="92">
        <v>4586.7</v>
      </c>
      <c r="K27" s="109">
        <v>430</v>
      </c>
      <c r="L27" s="110"/>
      <c r="M27" s="111">
        <v>38416</v>
      </c>
      <c r="N27" s="111">
        <v>38617</v>
      </c>
      <c r="O27" s="111">
        <v>38402</v>
      </c>
      <c r="P27" s="111">
        <v>0</v>
      </c>
      <c r="Q27" s="111">
        <v>38402</v>
      </c>
      <c r="R27" s="111">
        <v>38402</v>
      </c>
    </row>
    <row r="28" spans="1:18" x14ac:dyDescent="0.2">
      <c r="A28" s="8">
        <v>11570</v>
      </c>
      <c r="B28" s="8" t="s">
        <v>89</v>
      </c>
      <c r="C28" s="8" t="s">
        <v>17</v>
      </c>
      <c r="D28" s="29" t="s">
        <v>2</v>
      </c>
      <c r="E28" s="98"/>
      <c r="F28" s="65">
        <v>379829</v>
      </c>
      <c r="G28" s="568">
        <v>136316</v>
      </c>
      <c r="H28" s="91">
        <f t="shared" si="0"/>
        <v>2.7863860441914374</v>
      </c>
      <c r="I28" s="92">
        <v>110.2</v>
      </c>
      <c r="J28" s="92">
        <v>3445.6</v>
      </c>
      <c r="K28" s="109">
        <v>585</v>
      </c>
      <c r="L28" s="110"/>
      <c r="M28" s="111">
        <v>135954</v>
      </c>
      <c r="N28" s="111">
        <v>135954</v>
      </c>
      <c r="O28" s="111">
        <v>134954</v>
      </c>
      <c r="P28" s="111">
        <v>0</v>
      </c>
      <c r="Q28" s="111">
        <v>136316</v>
      </c>
      <c r="R28" s="111">
        <v>136316</v>
      </c>
    </row>
    <row r="29" spans="1:18" x14ac:dyDescent="0.2">
      <c r="A29" s="8">
        <v>11600</v>
      </c>
      <c r="B29" s="8" t="s">
        <v>90</v>
      </c>
      <c r="C29" s="8" t="s">
        <v>68</v>
      </c>
      <c r="D29" s="29" t="s">
        <v>1</v>
      </c>
      <c r="E29" s="98" t="s">
        <v>184</v>
      </c>
      <c r="F29" s="65">
        <v>2765</v>
      </c>
      <c r="G29" s="568">
        <v>1371</v>
      </c>
      <c r="H29" s="91">
        <f t="shared" si="0"/>
        <v>2.0167760758570386</v>
      </c>
      <c r="I29" s="92">
        <v>18934.5</v>
      </c>
      <c r="J29" s="92">
        <v>0.1</v>
      </c>
      <c r="K29" s="109">
        <v>203</v>
      </c>
      <c r="L29" s="110"/>
      <c r="M29" s="111">
        <v>603</v>
      </c>
      <c r="N29" s="111">
        <v>0</v>
      </c>
      <c r="O29" s="111">
        <v>0</v>
      </c>
      <c r="P29" s="111">
        <v>0</v>
      </c>
      <c r="Q29" s="111">
        <v>0</v>
      </c>
      <c r="R29" s="111">
        <v>0</v>
      </c>
    </row>
    <row r="30" spans="1:18" x14ac:dyDescent="0.2">
      <c r="A30" s="8">
        <v>11650</v>
      </c>
      <c r="B30" s="8" t="s">
        <v>91</v>
      </c>
      <c r="C30" s="8" t="s">
        <v>23</v>
      </c>
      <c r="D30" s="29" t="s">
        <v>2</v>
      </c>
      <c r="E30" s="98"/>
      <c r="F30" s="65">
        <v>351934</v>
      </c>
      <c r="G30" s="568">
        <v>150729</v>
      </c>
      <c r="H30" s="91">
        <f t="shared" si="0"/>
        <v>2.3348791539783318</v>
      </c>
      <c r="I30" s="92">
        <v>1681</v>
      </c>
      <c r="J30" s="92">
        <v>209.4</v>
      </c>
      <c r="K30" s="109">
        <v>520</v>
      </c>
      <c r="L30" s="110"/>
      <c r="M30" s="111">
        <v>129623</v>
      </c>
      <c r="N30" s="111">
        <v>130046</v>
      </c>
      <c r="O30" s="111">
        <v>126259</v>
      </c>
      <c r="P30" s="111">
        <v>0</v>
      </c>
      <c r="Q30" s="111">
        <v>150729</v>
      </c>
      <c r="R30" s="111">
        <v>150729</v>
      </c>
    </row>
    <row r="31" spans="1:18" x14ac:dyDescent="0.2">
      <c r="A31" s="8">
        <v>11700</v>
      </c>
      <c r="B31" s="8" t="s">
        <v>92</v>
      </c>
      <c r="C31" s="8" t="s">
        <v>38</v>
      </c>
      <c r="D31" s="29" t="s">
        <v>1</v>
      </c>
      <c r="E31" s="98" t="s">
        <v>187</v>
      </c>
      <c r="F31" s="65">
        <v>1757</v>
      </c>
      <c r="G31" s="568">
        <v>1055</v>
      </c>
      <c r="H31" s="91">
        <f t="shared" si="0"/>
        <v>1.6654028436018957</v>
      </c>
      <c r="I31" s="92">
        <v>53492.2</v>
      </c>
      <c r="J31" s="92">
        <v>0</v>
      </c>
      <c r="K31" s="109">
        <v>635</v>
      </c>
      <c r="L31" s="110"/>
      <c r="M31" s="111">
        <v>507</v>
      </c>
      <c r="N31" s="111">
        <v>0</v>
      </c>
      <c r="O31" s="111">
        <v>0</v>
      </c>
      <c r="P31" s="111">
        <v>0</v>
      </c>
      <c r="Q31" s="111">
        <v>1055</v>
      </c>
      <c r="R31" s="111">
        <v>1055</v>
      </c>
    </row>
    <row r="32" spans="1:18" x14ac:dyDescent="0.2">
      <c r="A32" s="8">
        <v>11720</v>
      </c>
      <c r="B32" s="8" t="s">
        <v>93</v>
      </c>
      <c r="C32" s="8" t="s">
        <v>23</v>
      </c>
      <c r="D32" s="29" t="s">
        <v>2</v>
      </c>
      <c r="E32" s="98" t="s">
        <v>193</v>
      </c>
      <c r="F32" s="65">
        <v>67591</v>
      </c>
      <c r="G32" s="568">
        <v>29210</v>
      </c>
      <c r="H32" s="91">
        <f t="shared" si="0"/>
        <v>2.3139678192399864</v>
      </c>
      <c r="I32" s="92">
        <v>1965.2</v>
      </c>
      <c r="J32" s="92">
        <v>34.4</v>
      </c>
      <c r="K32" s="109">
        <v>645</v>
      </c>
      <c r="L32" s="110"/>
      <c r="M32" s="111">
        <v>25207</v>
      </c>
      <c r="N32" s="111">
        <v>25467</v>
      </c>
      <c r="O32" s="111">
        <v>25204</v>
      </c>
      <c r="P32" s="111">
        <v>0</v>
      </c>
      <c r="Q32" s="111">
        <v>0</v>
      </c>
      <c r="R32" s="111">
        <v>29210</v>
      </c>
    </row>
    <row r="33" spans="1:18" x14ac:dyDescent="0.2">
      <c r="A33" s="8">
        <v>11730</v>
      </c>
      <c r="B33" s="8" t="s">
        <v>94</v>
      </c>
      <c r="C33" s="8" t="s">
        <v>19</v>
      </c>
      <c r="D33" s="29" t="s">
        <v>3</v>
      </c>
      <c r="E33" s="98"/>
      <c r="F33" s="65">
        <v>55323</v>
      </c>
      <c r="G33" s="568">
        <v>27381</v>
      </c>
      <c r="H33" s="91">
        <f t="shared" si="0"/>
        <v>2.0204886600197218</v>
      </c>
      <c r="I33" s="92">
        <v>10428.700000000001</v>
      </c>
      <c r="J33" s="92">
        <v>5.3</v>
      </c>
      <c r="K33" s="109">
        <v>375</v>
      </c>
      <c r="L33" s="110"/>
      <c r="M33" s="111">
        <v>23311</v>
      </c>
      <c r="N33" s="111">
        <v>22895</v>
      </c>
      <c r="O33" s="111">
        <v>0</v>
      </c>
      <c r="P33" s="111">
        <v>18646</v>
      </c>
      <c r="Q33" s="111">
        <v>0</v>
      </c>
      <c r="R33" s="111">
        <v>27381</v>
      </c>
    </row>
    <row r="34" spans="1:18" x14ac:dyDescent="0.2">
      <c r="A34" s="8">
        <v>11750</v>
      </c>
      <c r="B34" s="8" t="s">
        <v>95</v>
      </c>
      <c r="C34" s="8" t="s">
        <v>38</v>
      </c>
      <c r="D34" s="29" t="s">
        <v>1</v>
      </c>
      <c r="E34" s="98" t="s">
        <v>192</v>
      </c>
      <c r="F34" s="65">
        <v>4078</v>
      </c>
      <c r="G34" s="568">
        <v>2876</v>
      </c>
      <c r="H34" s="91">
        <f t="shared" si="0"/>
        <v>1.417941585535466</v>
      </c>
      <c r="I34" s="92">
        <v>45575.4</v>
      </c>
      <c r="J34" s="92">
        <v>0.1</v>
      </c>
      <c r="K34" s="109">
        <v>260</v>
      </c>
      <c r="L34" s="110"/>
      <c r="M34" s="111">
        <v>2511</v>
      </c>
      <c r="N34" s="111">
        <v>0</v>
      </c>
      <c r="O34" s="111">
        <v>0</v>
      </c>
      <c r="P34" s="111">
        <v>0</v>
      </c>
      <c r="Q34" s="111">
        <v>0</v>
      </c>
      <c r="R34" s="111">
        <v>2876</v>
      </c>
    </row>
    <row r="35" spans="1:18" x14ac:dyDescent="0.2">
      <c r="A35" s="8">
        <v>11800</v>
      </c>
      <c r="B35" s="8" t="s">
        <v>42</v>
      </c>
      <c r="C35" s="8" t="s">
        <v>39</v>
      </c>
      <c r="D35" s="29" t="s">
        <v>3</v>
      </c>
      <c r="E35" s="98"/>
      <c r="F35" s="65">
        <v>80489</v>
      </c>
      <c r="G35" s="568">
        <v>33891</v>
      </c>
      <c r="H35" s="91">
        <f t="shared" si="0"/>
        <v>2.3749372989879318</v>
      </c>
      <c r="I35" s="92">
        <v>1173.7</v>
      </c>
      <c r="J35" s="92">
        <v>68.599999999999994</v>
      </c>
      <c r="K35" s="109">
        <v>702.5</v>
      </c>
      <c r="L35" s="110"/>
      <c r="M35" s="111">
        <v>31557</v>
      </c>
      <c r="N35" s="111">
        <v>28375</v>
      </c>
      <c r="O35" s="111">
        <v>0</v>
      </c>
      <c r="P35" s="111">
        <v>28375</v>
      </c>
      <c r="Q35" s="111">
        <v>33891</v>
      </c>
      <c r="R35" s="111">
        <v>33891</v>
      </c>
    </row>
    <row r="36" spans="1:18" x14ac:dyDescent="0.2">
      <c r="A36" s="8">
        <v>12000</v>
      </c>
      <c r="B36" s="8" t="s">
        <v>96</v>
      </c>
      <c r="C36" s="8" t="s">
        <v>21</v>
      </c>
      <c r="D36" s="29" t="s">
        <v>1</v>
      </c>
      <c r="E36" s="98" t="s">
        <v>190</v>
      </c>
      <c r="F36" s="65">
        <v>4549</v>
      </c>
      <c r="G36" s="568">
        <v>1806</v>
      </c>
      <c r="H36" s="91">
        <f t="shared" si="0"/>
        <v>2.518826135105205</v>
      </c>
      <c r="I36" s="92">
        <v>2430.9</v>
      </c>
      <c r="J36" s="92">
        <v>1.9</v>
      </c>
      <c r="K36" s="109">
        <v>220</v>
      </c>
      <c r="L36" s="110"/>
      <c r="M36" s="111">
        <v>1806</v>
      </c>
      <c r="N36" s="111">
        <v>1236</v>
      </c>
      <c r="O36" s="111">
        <v>0</v>
      </c>
      <c r="P36" s="111">
        <v>1236</v>
      </c>
      <c r="Q36" s="111">
        <v>1806</v>
      </c>
      <c r="R36" s="111">
        <v>1806</v>
      </c>
    </row>
    <row r="37" spans="1:18" x14ac:dyDescent="0.2">
      <c r="A37" s="8">
        <v>12150</v>
      </c>
      <c r="B37" s="8" t="s">
        <v>97</v>
      </c>
      <c r="C37" s="8" t="s">
        <v>38</v>
      </c>
      <c r="D37" s="29" t="s">
        <v>1</v>
      </c>
      <c r="E37" s="98"/>
      <c r="F37" s="65">
        <v>3861</v>
      </c>
      <c r="G37" s="568">
        <v>2831</v>
      </c>
      <c r="H37" s="91">
        <f t="shared" ref="H37:H68" si="1">F37/G37</f>
        <v>1.3638290356764393</v>
      </c>
      <c r="I37" s="92">
        <v>9916.1</v>
      </c>
      <c r="J37" s="92">
        <v>0.4</v>
      </c>
      <c r="K37" s="109">
        <v>360</v>
      </c>
      <c r="L37" s="110"/>
      <c r="M37" s="111">
        <v>1282</v>
      </c>
      <c r="N37" s="111">
        <v>0</v>
      </c>
      <c r="O37" s="111">
        <v>0</v>
      </c>
      <c r="P37" s="111">
        <v>0</v>
      </c>
      <c r="Q37" s="111">
        <v>0</v>
      </c>
      <c r="R37" s="111">
        <v>0</v>
      </c>
    </row>
    <row r="38" spans="1:18" x14ac:dyDescent="0.2">
      <c r="A38" s="8">
        <v>12160</v>
      </c>
      <c r="B38" s="8" t="s">
        <v>98</v>
      </c>
      <c r="C38" s="8" t="s">
        <v>21</v>
      </c>
      <c r="D38" s="29" t="s">
        <v>1</v>
      </c>
      <c r="E38" s="98" t="s">
        <v>190</v>
      </c>
      <c r="F38" s="65">
        <v>11424</v>
      </c>
      <c r="G38" s="568">
        <v>6808</v>
      </c>
      <c r="H38" s="91">
        <f t="shared" si="1"/>
        <v>1.6780258519388953</v>
      </c>
      <c r="I38" s="92">
        <v>3981.4</v>
      </c>
      <c r="J38" s="92">
        <v>2.9</v>
      </c>
      <c r="K38" s="109">
        <v>588</v>
      </c>
      <c r="L38" s="110"/>
      <c r="M38" s="111">
        <v>3994</v>
      </c>
      <c r="N38" s="111">
        <v>3994</v>
      </c>
      <c r="O38" s="111">
        <v>3043</v>
      </c>
      <c r="P38" s="111">
        <v>951</v>
      </c>
      <c r="Q38" s="111">
        <v>0</v>
      </c>
      <c r="R38" s="111">
        <v>6808</v>
      </c>
    </row>
    <row r="39" spans="1:18" x14ac:dyDescent="0.2">
      <c r="A39" s="8">
        <v>12350</v>
      </c>
      <c r="B39" s="8" t="s">
        <v>99</v>
      </c>
      <c r="C39" s="8" t="s">
        <v>38</v>
      </c>
      <c r="D39" s="29" t="s">
        <v>1</v>
      </c>
      <c r="E39" s="98" t="s">
        <v>188</v>
      </c>
      <c r="F39" s="65">
        <v>12659</v>
      </c>
      <c r="G39" s="568">
        <v>7602</v>
      </c>
      <c r="H39" s="91">
        <f t="shared" si="1"/>
        <v>1.6652196790318337</v>
      </c>
      <c r="I39" s="92">
        <v>2808.8</v>
      </c>
      <c r="J39" s="92">
        <v>4.5</v>
      </c>
      <c r="K39" s="109">
        <v>738</v>
      </c>
      <c r="L39" s="110"/>
      <c r="M39" s="111">
        <v>4719</v>
      </c>
      <c r="N39" s="111">
        <v>4552</v>
      </c>
      <c r="O39" s="111">
        <v>0</v>
      </c>
      <c r="P39" s="111">
        <v>0</v>
      </c>
      <c r="Q39" s="111">
        <v>0</v>
      </c>
      <c r="R39" s="111">
        <v>7602</v>
      </c>
    </row>
    <row r="40" spans="1:18" x14ac:dyDescent="0.2">
      <c r="A40" s="8">
        <v>12380</v>
      </c>
      <c r="B40" s="8" t="s">
        <v>47</v>
      </c>
      <c r="C40" s="8" t="s">
        <v>18</v>
      </c>
      <c r="D40" s="29" t="s">
        <v>2</v>
      </c>
      <c r="E40" s="98"/>
      <c r="F40" s="65">
        <v>245323</v>
      </c>
      <c r="G40" s="568">
        <v>73565</v>
      </c>
      <c r="H40" s="91">
        <f t="shared" si="1"/>
        <v>3.334778767076735</v>
      </c>
      <c r="I40" s="92">
        <v>72.7</v>
      </c>
      <c r="J40" s="92">
        <v>3372.2</v>
      </c>
      <c r="K40" s="109">
        <v>610</v>
      </c>
      <c r="L40" s="110"/>
      <c r="M40" s="111">
        <v>87607</v>
      </c>
      <c r="N40" s="111">
        <v>32069</v>
      </c>
      <c r="O40" s="111">
        <v>32147</v>
      </c>
      <c r="P40" s="111">
        <v>0</v>
      </c>
      <c r="Q40" s="111">
        <v>73565</v>
      </c>
      <c r="R40" s="111">
        <v>73565</v>
      </c>
    </row>
    <row r="41" spans="1:18" x14ac:dyDescent="0.2">
      <c r="A41" s="8">
        <v>12390</v>
      </c>
      <c r="B41" s="8" t="s">
        <v>100</v>
      </c>
      <c r="C41" s="8" t="s">
        <v>38</v>
      </c>
      <c r="D41" s="29" t="s">
        <v>1</v>
      </c>
      <c r="E41" s="98"/>
      <c r="F41" s="65">
        <v>56558</v>
      </c>
      <c r="G41" s="568">
        <v>20902</v>
      </c>
      <c r="H41" s="91">
        <f t="shared" si="1"/>
        <v>2.7058654674193856</v>
      </c>
      <c r="I41" s="92">
        <v>7534.5</v>
      </c>
      <c r="J41" s="92">
        <v>7.5</v>
      </c>
      <c r="K41" s="109">
        <v>414.17</v>
      </c>
      <c r="L41" s="110"/>
      <c r="M41" s="111">
        <v>20129</v>
      </c>
      <c r="N41" s="111">
        <v>20136</v>
      </c>
      <c r="O41" s="111">
        <v>0</v>
      </c>
      <c r="P41" s="111">
        <v>16546</v>
      </c>
      <c r="Q41" s="111">
        <v>20902</v>
      </c>
      <c r="R41" s="111">
        <v>20902</v>
      </c>
    </row>
    <row r="42" spans="1:18" x14ac:dyDescent="0.2">
      <c r="A42" s="8">
        <v>12700</v>
      </c>
      <c r="B42" s="8" t="s">
        <v>101</v>
      </c>
      <c r="C42" s="8" t="s">
        <v>23</v>
      </c>
      <c r="D42" s="29" t="s">
        <v>3</v>
      </c>
      <c r="E42" s="98" t="s">
        <v>193</v>
      </c>
      <c r="F42" s="65">
        <v>9767</v>
      </c>
      <c r="G42" s="568">
        <v>5441</v>
      </c>
      <c r="H42" s="91">
        <f t="shared" si="1"/>
        <v>1.7950744348465355</v>
      </c>
      <c r="I42" s="92">
        <v>2250</v>
      </c>
      <c r="J42" s="92">
        <v>4.3</v>
      </c>
      <c r="K42" s="109">
        <v>0</v>
      </c>
      <c r="L42" s="110"/>
      <c r="M42" s="111">
        <v>3911</v>
      </c>
      <c r="N42" s="111">
        <v>3884</v>
      </c>
      <c r="O42" s="111">
        <v>0</v>
      </c>
      <c r="P42" s="111">
        <v>0</v>
      </c>
      <c r="Q42" s="111">
        <v>5441</v>
      </c>
      <c r="R42" s="111">
        <v>5441</v>
      </c>
    </row>
    <row r="43" spans="1:18" x14ac:dyDescent="0.2">
      <c r="A43" s="8">
        <v>12730</v>
      </c>
      <c r="B43" s="8" t="s">
        <v>102</v>
      </c>
      <c r="C43" s="8" t="s">
        <v>66</v>
      </c>
      <c r="D43" s="29" t="s">
        <v>1</v>
      </c>
      <c r="E43" s="98" t="s">
        <v>184</v>
      </c>
      <c r="F43" s="65">
        <v>8430</v>
      </c>
      <c r="G43" s="568">
        <v>5027</v>
      </c>
      <c r="H43" s="91">
        <f t="shared" si="1"/>
        <v>1.6769444997016112</v>
      </c>
      <c r="I43" s="92">
        <v>8883.4</v>
      </c>
      <c r="J43" s="92">
        <v>0.9</v>
      </c>
      <c r="K43" s="109">
        <v>408</v>
      </c>
      <c r="L43" s="110"/>
      <c r="M43" s="111">
        <v>3767</v>
      </c>
      <c r="N43" s="111">
        <v>0</v>
      </c>
      <c r="O43" s="111">
        <v>0</v>
      </c>
      <c r="P43" s="111">
        <v>0</v>
      </c>
      <c r="Q43" s="111">
        <v>0</v>
      </c>
      <c r="R43" s="111">
        <v>5027</v>
      </c>
    </row>
    <row r="44" spans="1:18" x14ac:dyDescent="0.2">
      <c r="A44" s="8">
        <v>12750</v>
      </c>
      <c r="B44" s="8" t="s">
        <v>103</v>
      </c>
      <c r="C44" s="8" t="s">
        <v>67</v>
      </c>
      <c r="D44" s="29" t="s">
        <v>1</v>
      </c>
      <c r="E44" s="98" t="s">
        <v>67</v>
      </c>
      <c r="F44" s="65">
        <v>40912</v>
      </c>
      <c r="G44" s="568">
        <v>25137</v>
      </c>
      <c r="H44" s="91">
        <f t="shared" si="1"/>
        <v>1.6275609659068306</v>
      </c>
      <c r="I44" s="92">
        <v>3428.2</v>
      </c>
      <c r="J44" s="92">
        <v>11.9</v>
      </c>
      <c r="K44" s="109">
        <v>324.35000000000002</v>
      </c>
      <c r="L44" s="110"/>
      <c r="M44" s="111">
        <v>23758</v>
      </c>
      <c r="N44" s="111">
        <v>23533</v>
      </c>
      <c r="O44" s="111">
        <v>22664</v>
      </c>
      <c r="P44" s="111">
        <v>0</v>
      </c>
      <c r="Q44" s="111">
        <v>25137</v>
      </c>
      <c r="R44" s="111">
        <v>25137</v>
      </c>
    </row>
    <row r="45" spans="1:18" x14ac:dyDescent="0.2">
      <c r="A45" s="8">
        <v>12850</v>
      </c>
      <c r="B45" s="8" t="s">
        <v>104</v>
      </c>
      <c r="C45" s="8" t="s">
        <v>18</v>
      </c>
      <c r="D45" s="29" t="s">
        <v>2</v>
      </c>
      <c r="E45" s="98"/>
      <c r="F45" s="65">
        <v>209742</v>
      </c>
      <c r="G45" s="568">
        <v>68590</v>
      </c>
      <c r="H45" s="91">
        <f t="shared" si="1"/>
        <v>3.0579093162268554</v>
      </c>
      <c r="I45" s="92">
        <v>101.5</v>
      </c>
      <c r="J45" s="92">
        <v>2066.3000000000002</v>
      </c>
      <c r="K45" s="109">
        <v>516.63</v>
      </c>
      <c r="L45" s="110"/>
      <c r="M45" s="111">
        <v>60395</v>
      </c>
      <c r="N45" s="111">
        <v>60395</v>
      </c>
      <c r="O45" s="111">
        <v>0</v>
      </c>
      <c r="P45" s="111">
        <v>0</v>
      </c>
      <c r="Q45" s="111">
        <v>68590</v>
      </c>
      <c r="R45" s="111">
        <v>68590</v>
      </c>
    </row>
    <row r="46" spans="1:18" x14ac:dyDescent="0.2">
      <c r="A46" s="8">
        <v>12870</v>
      </c>
      <c r="B46" s="8" t="s">
        <v>105</v>
      </c>
      <c r="C46" s="8" t="s">
        <v>66</v>
      </c>
      <c r="D46" s="29" t="s">
        <v>1</v>
      </c>
      <c r="E46" s="98" t="s">
        <v>184</v>
      </c>
      <c r="F46" s="65">
        <v>12939</v>
      </c>
      <c r="G46" s="568">
        <v>9904</v>
      </c>
      <c r="H46" s="91">
        <f t="shared" si="1"/>
        <v>1.3064418416801293</v>
      </c>
      <c r="I46" s="92">
        <v>5684.9</v>
      </c>
      <c r="J46" s="92">
        <v>2.2999999999999998</v>
      </c>
      <c r="K46" s="109">
        <v>425</v>
      </c>
      <c r="L46" s="110"/>
      <c r="M46" s="111">
        <v>6050</v>
      </c>
      <c r="N46" s="111">
        <v>5643</v>
      </c>
      <c r="O46" s="111">
        <v>0</v>
      </c>
      <c r="P46" s="111">
        <v>5636</v>
      </c>
      <c r="Q46" s="111">
        <v>0</v>
      </c>
      <c r="R46" s="111">
        <v>0</v>
      </c>
    </row>
    <row r="47" spans="1:18" x14ac:dyDescent="0.2">
      <c r="A47" s="8">
        <v>12900</v>
      </c>
      <c r="B47" s="8" t="s">
        <v>106</v>
      </c>
      <c r="C47" s="8" t="s">
        <v>38</v>
      </c>
      <c r="D47" s="29" t="s">
        <v>1</v>
      </c>
      <c r="E47" s="98" t="s">
        <v>188</v>
      </c>
      <c r="F47" s="65">
        <v>9300</v>
      </c>
      <c r="G47" s="568">
        <v>4379</v>
      </c>
      <c r="H47" s="91">
        <f t="shared" si="1"/>
        <v>2.1237725508106875</v>
      </c>
      <c r="I47" s="92">
        <v>4710.1000000000004</v>
      </c>
      <c r="J47" s="92">
        <v>2</v>
      </c>
      <c r="K47" s="109">
        <v>585</v>
      </c>
      <c r="L47" s="110"/>
      <c r="M47" s="111">
        <v>2491</v>
      </c>
      <c r="N47" s="111">
        <v>3791</v>
      </c>
      <c r="O47" s="111">
        <v>0</v>
      </c>
      <c r="P47" s="111">
        <v>3416</v>
      </c>
      <c r="Q47" s="111">
        <v>4379</v>
      </c>
      <c r="R47" s="111">
        <v>4379</v>
      </c>
    </row>
    <row r="48" spans="1:18" x14ac:dyDescent="0.2">
      <c r="A48" s="8">
        <v>12930</v>
      </c>
      <c r="B48" s="8" t="s">
        <v>48</v>
      </c>
      <c r="C48" s="8" t="s">
        <v>17</v>
      </c>
      <c r="D48" s="29" t="s">
        <v>2</v>
      </c>
      <c r="E48" s="98"/>
      <c r="F48" s="65">
        <v>158051</v>
      </c>
      <c r="G48" s="568">
        <v>60396</v>
      </c>
      <c r="H48" s="91">
        <f t="shared" si="1"/>
        <v>2.6169117160076825</v>
      </c>
      <c r="I48" s="92">
        <v>38.299999999999997</v>
      </c>
      <c r="J48" s="92">
        <v>4122.6000000000004</v>
      </c>
      <c r="K48" s="109">
        <v>511</v>
      </c>
      <c r="L48" s="110"/>
      <c r="M48" s="111">
        <v>37176</v>
      </c>
      <c r="N48" s="111">
        <v>45383</v>
      </c>
      <c r="O48" s="111">
        <v>36463</v>
      </c>
      <c r="P48" s="111">
        <v>0</v>
      </c>
      <c r="Q48" s="111">
        <v>60396</v>
      </c>
      <c r="R48" s="111">
        <v>60396</v>
      </c>
    </row>
    <row r="49" spans="1:18" ht="15.75" customHeight="1" x14ac:dyDescent="0.2">
      <c r="A49" s="8">
        <v>12950</v>
      </c>
      <c r="B49" s="8" t="s">
        <v>107</v>
      </c>
      <c r="C49" s="8" t="s">
        <v>38</v>
      </c>
      <c r="D49" s="29" t="s">
        <v>1</v>
      </c>
      <c r="E49" s="98" t="s">
        <v>191</v>
      </c>
      <c r="F49" s="65">
        <v>4309</v>
      </c>
      <c r="G49" s="568">
        <v>2572</v>
      </c>
      <c r="H49" s="91">
        <f t="shared" si="1"/>
        <v>1.6753499222395023</v>
      </c>
      <c r="I49" s="92">
        <v>4831.5</v>
      </c>
      <c r="J49" s="92">
        <v>0.9</v>
      </c>
      <c r="K49" s="109">
        <v>464</v>
      </c>
      <c r="L49" s="110"/>
      <c r="M49" s="111">
        <v>2173</v>
      </c>
      <c r="N49" s="111">
        <v>2151</v>
      </c>
      <c r="O49" s="111">
        <v>0</v>
      </c>
      <c r="P49" s="111">
        <v>0</v>
      </c>
      <c r="Q49" s="111">
        <v>0</v>
      </c>
      <c r="R49" s="111">
        <v>2572</v>
      </c>
    </row>
    <row r="50" spans="1:18" x14ac:dyDescent="0.2">
      <c r="A50" s="8">
        <v>13010</v>
      </c>
      <c r="B50" s="8" t="s">
        <v>108</v>
      </c>
      <c r="C50" s="8" t="s">
        <v>16</v>
      </c>
      <c r="D50" s="29" t="s">
        <v>1</v>
      </c>
      <c r="E50" s="98" t="s">
        <v>185</v>
      </c>
      <c r="F50" s="65">
        <v>8989</v>
      </c>
      <c r="G50" s="568">
        <v>5391</v>
      </c>
      <c r="H50" s="91">
        <f t="shared" si="1"/>
        <v>1.6674086440363569</v>
      </c>
      <c r="I50" s="92">
        <v>5480</v>
      </c>
      <c r="J50" s="92">
        <v>1.6</v>
      </c>
      <c r="K50" s="109">
        <v>360</v>
      </c>
      <c r="L50" s="110"/>
      <c r="M50" s="111">
        <v>3905</v>
      </c>
      <c r="N50" s="111">
        <v>3905</v>
      </c>
      <c r="O50" s="111">
        <v>0</v>
      </c>
      <c r="P50" s="111">
        <v>0</v>
      </c>
      <c r="Q50" s="111">
        <v>0</v>
      </c>
      <c r="R50" s="111">
        <v>5391</v>
      </c>
    </row>
    <row r="51" spans="1:18" x14ac:dyDescent="0.2">
      <c r="A51" s="8">
        <v>13310</v>
      </c>
      <c r="B51" s="8" t="s">
        <v>109</v>
      </c>
      <c r="C51" s="8" t="s">
        <v>67</v>
      </c>
      <c r="D51" s="29" t="s">
        <v>1</v>
      </c>
      <c r="E51" s="98" t="s">
        <v>67</v>
      </c>
      <c r="F51" s="65">
        <v>32710</v>
      </c>
      <c r="G51" s="568">
        <v>17722</v>
      </c>
      <c r="H51" s="91">
        <f t="shared" si="1"/>
        <v>1.845728473084302</v>
      </c>
      <c r="I51" s="92">
        <v>3220.1</v>
      </c>
      <c r="J51" s="92">
        <v>10.199999999999999</v>
      </c>
      <c r="K51" s="109">
        <v>402</v>
      </c>
      <c r="L51" s="110"/>
      <c r="M51" s="111">
        <v>11207</v>
      </c>
      <c r="N51" s="111">
        <v>12261</v>
      </c>
      <c r="O51" s="111">
        <v>0</v>
      </c>
      <c r="P51" s="111">
        <v>12278</v>
      </c>
      <c r="Q51" s="111">
        <v>17722</v>
      </c>
      <c r="R51" s="111">
        <v>17722</v>
      </c>
    </row>
    <row r="52" spans="1:18" x14ac:dyDescent="0.2">
      <c r="A52" s="8">
        <v>13340</v>
      </c>
      <c r="B52" s="8" t="s">
        <v>110</v>
      </c>
      <c r="C52" s="8" t="s">
        <v>21</v>
      </c>
      <c r="D52" s="29" t="s">
        <v>1</v>
      </c>
      <c r="E52" s="98" t="s">
        <v>190</v>
      </c>
      <c r="F52" s="65">
        <v>11445</v>
      </c>
      <c r="G52" s="568">
        <v>7118</v>
      </c>
      <c r="H52" s="91">
        <f t="shared" si="1"/>
        <v>1.6078954762573756</v>
      </c>
      <c r="I52" s="92">
        <v>5749.4</v>
      </c>
      <c r="J52" s="92">
        <v>2</v>
      </c>
      <c r="K52" s="109">
        <v>264</v>
      </c>
      <c r="L52" s="110"/>
      <c r="M52" s="111">
        <v>3319</v>
      </c>
      <c r="N52" s="111">
        <v>3319</v>
      </c>
      <c r="O52" s="111">
        <v>0</v>
      </c>
      <c r="P52" s="111">
        <v>0</v>
      </c>
      <c r="Q52" s="111">
        <v>0</v>
      </c>
      <c r="R52" s="111">
        <v>7118</v>
      </c>
    </row>
    <row r="53" spans="1:18" x14ac:dyDescent="0.2">
      <c r="A53" s="8">
        <v>13450</v>
      </c>
      <c r="B53" s="8" t="s">
        <v>111</v>
      </c>
      <c r="C53" s="8" t="s">
        <v>68</v>
      </c>
      <c r="D53" s="29" t="s">
        <v>1</v>
      </c>
      <c r="E53" s="98" t="s">
        <v>184</v>
      </c>
      <c r="F53" s="65">
        <v>27132</v>
      </c>
      <c r="G53" s="568">
        <v>11711</v>
      </c>
      <c r="H53" s="91">
        <f t="shared" si="1"/>
        <v>2.3167961745367602</v>
      </c>
      <c r="I53" s="92">
        <v>1639.2</v>
      </c>
      <c r="J53" s="92">
        <v>16.600000000000001</v>
      </c>
      <c r="K53" s="109">
        <v>341</v>
      </c>
      <c r="L53" s="110"/>
      <c r="M53" s="111">
        <v>8738</v>
      </c>
      <c r="N53" s="111">
        <v>8738</v>
      </c>
      <c r="O53" s="111">
        <v>0</v>
      </c>
      <c r="P53" s="111">
        <v>0</v>
      </c>
      <c r="Q53" s="111">
        <v>0</v>
      </c>
      <c r="R53" s="111">
        <v>11711</v>
      </c>
    </row>
    <row r="54" spans="1:18" x14ac:dyDescent="0.2">
      <c r="A54" s="8">
        <v>13550</v>
      </c>
      <c r="B54" s="8" t="s">
        <v>70</v>
      </c>
      <c r="C54" s="8" t="s">
        <v>16</v>
      </c>
      <c r="D54" s="29" t="s">
        <v>1</v>
      </c>
      <c r="E54" s="98" t="s">
        <v>194</v>
      </c>
      <c r="F54" s="65">
        <v>13280</v>
      </c>
      <c r="G54" s="568">
        <v>5467</v>
      </c>
      <c r="H54" s="91">
        <f t="shared" si="1"/>
        <v>2.4291201755990488</v>
      </c>
      <c r="I54" s="92">
        <v>4987</v>
      </c>
      <c r="J54" s="92">
        <v>2.7</v>
      </c>
      <c r="K54" s="109">
        <v>440</v>
      </c>
      <c r="L54" s="110"/>
      <c r="M54" s="111">
        <v>5084</v>
      </c>
      <c r="N54" s="111">
        <v>4966</v>
      </c>
      <c r="O54" s="111">
        <v>3545</v>
      </c>
      <c r="P54" s="111">
        <v>0</v>
      </c>
      <c r="Q54" s="111">
        <v>0</v>
      </c>
      <c r="R54" s="111">
        <v>5467</v>
      </c>
    </row>
    <row r="55" spans="1:18" x14ac:dyDescent="0.2">
      <c r="A55" s="8">
        <v>13660</v>
      </c>
      <c r="B55" s="8" t="s">
        <v>112</v>
      </c>
      <c r="C55" s="8" t="s">
        <v>16</v>
      </c>
      <c r="D55" s="29" t="s">
        <v>1</v>
      </c>
      <c r="E55" s="98" t="s">
        <v>194</v>
      </c>
      <c r="F55" s="65">
        <v>4940</v>
      </c>
      <c r="G55" s="568">
        <v>3302</v>
      </c>
      <c r="H55" s="91">
        <f t="shared" si="1"/>
        <v>1.4960629921259843</v>
      </c>
      <c r="I55" s="92">
        <v>9259.7000000000007</v>
      </c>
      <c r="J55" s="92">
        <v>0.5</v>
      </c>
      <c r="K55" s="109">
        <v>380</v>
      </c>
      <c r="L55" s="110"/>
      <c r="M55" s="111">
        <v>1360</v>
      </c>
      <c r="N55" s="111">
        <v>1360</v>
      </c>
      <c r="O55" s="111">
        <v>0</v>
      </c>
      <c r="P55" s="111">
        <v>1360</v>
      </c>
      <c r="Q55" s="111">
        <v>0</v>
      </c>
      <c r="R55" s="111">
        <v>3302</v>
      </c>
    </row>
    <row r="56" spans="1:18" x14ac:dyDescent="0.2">
      <c r="A56" s="8">
        <v>13800</v>
      </c>
      <c r="B56" s="8" t="s">
        <v>113</v>
      </c>
      <c r="C56" s="8" t="s">
        <v>18</v>
      </c>
      <c r="D56" s="29" t="s">
        <v>2</v>
      </c>
      <c r="E56" s="98"/>
      <c r="F56" s="65">
        <v>68156</v>
      </c>
      <c r="G56" s="568">
        <v>26898</v>
      </c>
      <c r="H56" s="91">
        <f t="shared" si="1"/>
        <v>2.5338686891218676</v>
      </c>
      <c r="I56" s="92">
        <v>2775.1</v>
      </c>
      <c r="J56" s="92">
        <v>24.6</v>
      </c>
      <c r="K56" s="109">
        <v>787.1</v>
      </c>
      <c r="L56" s="110"/>
      <c r="M56" s="111">
        <v>25059</v>
      </c>
      <c r="N56" s="111">
        <v>25059</v>
      </c>
      <c r="O56" s="111">
        <v>14638</v>
      </c>
      <c r="P56" s="111">
        <v>0</v>
      </c>
      <c r="Q56" s="111">
        <v>26898</v>
      </c>
      <c r="R56" s="111">
        <v>26898</v>
      </c>
    </row>
    <row r="57" spans="1:18" x14ac:dyDescent="0.2">
      <c r="A57" s="8">
        <v>13850</v>
      </c>
      <c r="B57" s="8" t="s">
        <v>114</v>
      </c>
      <c r="C57" s="8" t="s">
        <v>68</v>
      </c>
      <c r="D57" s="29" t="s">
        <v>1</v>
      </c>
      <c r="E57" s="98" t="s">
        <v>184</v>
      </c>
      <c r="F57" s="65">
        <v>2830</v>
      </c>
      <c r="G57" s="568">
        <v>1799</v>
      </c>
      <c r="H57" s="91">
        <f t="shared" si="1"/>
        <v>1.5730961645358532</v>
      </c>
      <c r="I57" s="92">
        <v>11325.9</v>
      </c>
      <c r="J57" s="92">
        <v>0.2</v>
      </c>
      <c r="K57" s="109">
        <v>348</v>
      </c>
      <c r="L57" s="110"/>
      <c r="M57" s="111">
        <v>1325</v>
      </c>
      <c r="N57" s="111">
        <v>0</v>
      </c>
      <c r="O57" s="111">
        <v>0</v>
      </c>
      <c r="P57" s="111">
        <v>0</v>
      </c>
      <c r="Q57" s="111">
        <v>0</v>
      </c>
      <c r="R57" s="111">
        <v>1799</v>
      </c>
    </row>
    <row r="58" spans="1:18" x14ac:dyDescent="0.2">
      <c r="A58" s="8">
        <v>13910</v>
      </c>
      <c r="B58" s="8" t="s">
        <v>115</v>
      </c>
      <c r="C58" s="8" t="s">
        <v>67</v>
      </c>
      <c r="D58" s="29" t="s">
        <v>1</v>
      </c>
      <c r="E58" s="98" t="s">
        <v>67</v>
      </c>
      <c r="F58" s="65">
        <v>19255</v>
      </c>
      <c r="G58" s="568">
        <v>11461</v>
      </c>
      <c r="H58" s="91">
        <f t="shared" si="1"/>
        <v>1.6800453712590524</v>
      </c>
      <c r="I58" s="92">
        <v>7140.9</v>
      </c>
      <c r="J58" s="92">
        <v>2.7</v>
      </c>
      <c r="K58" s="109">
        <v>521.04</v>
      </c>
      <c r="L58" s="110"/>
      <c r="M58" s="111">
        <v>5597</v>
      </c>
      <c r="N58" s="111">
        <v>5384</v>
      </c>
      <c r="O58" s="111">
        <v>4700</v>
      </c>
      <c r="P58" s="111">
        <v>0</v>
      </c>
      <c r="Q58" s="111">
        <v>0</v>
      </c>
      <c r="R58" s="111">
        <v>11461</v>
      </c>
    </row>
    <row r="59" spans="1:18" x14ac:dyDescent="0.2">
      <c r="A59" s="8">
        <v>14000</v>
      </c>
      <c r="B59" s="8" t="s">
        <v>116</v>
      </c>
      <c r="C59" s="8" t="s">
        <v>24</v>
      </c>
      <c r="D59" s="29" t="s">
        <v>2</v>
      </c>
      <c r="E59" s="98"/>
      <c r="F59" s="65">
        <v>154072</v>
      </c>
      <c r="G59" s="568">
        <v>53500</v>
      </c>
      <c r="H59" s="91">
        <f t="shared" si="1"/>
        <v>2.8798504672897196</v>
      </c>
      <c r="I59" s="92">
        <v>455</v>
      </c>
      <c r="J59" s="92">
        <v>338.6</v>
      </c>
      <c r="K59" s="109">
        <v>636</v>
      </c>
      <c r="L59" s="110"/>
      <c r="M59" s="111">
        <v>53500</v>
      </c>
      <c r="N59" s="111">
        <v>53500</v>
      </c>
      <c r="O59" s="111">
        <v>53500</v>
      </c>
      <c r="P59" s="111">
        <v>0</v>
      </c>
      <c r="Q59" s="111">
        <v>53500</v>
      </c>
      <c r="R59" s="111">
        <v>53500</v>
      </c>
    </row>
    <row r="60" spans="1:18" x14ac:dyDescent="0.2">
      <c r="A60" s="8">
        <v>14100</v>
      </c>
      <c r="B60" s="8" t="s">
        <v>49</v>
      </c>
      <c r="C60" s="8" t="s">
        <v>24</v>
      </c>
      <c r="D60" s="29" t="s">
        <v>2</v>
      </c>
      <c r="E60" s="98"/>
      <c r="F60" s="65">
        <v>14036</v>
      </c>
      <c r="G60" s="568">
        <v>5776</v>
      </c>
      <c r="H60" s="91">
        <f t="shared" si="1"/>
        <v>2.4300554016620497</v>
      </c>
      <c r="I60" s="92">
        <v>5.7</v>
      </c>
      <c r="J60" s="92">
        <v>2455.1999999999998</v>
      </c>
      <c r="K60" s="109">
        <v>410</v>
      </c>
      <c r="L60" s="110"/>
      <c r="M60" s="111">
        <v>5271</v>
      </c>
      <c r="N60" s="111">
        <v>5275</v>
      </c>
      <c r="O60" s="111">
        <v>5265</v>
      </c>
      <c r="P60" s="111">
        <v>0</v>
      </c>
      <c r="Q60" s="111">
        <v>5776</v>
      </c>
      <c r="R60" s="111">
        <v>5776</v>
      </c>
    </row>
    <row r="61" spans="1:18" x14ac:dyDescent="0.2">
      <c r="A61" s="8">
        <v>14170</v>
      </c>
      <c r="B61" s="8" t="s">
        <v>50</v>
      </c>
      <c r="C61" s="8" t="s">
        <v>17</v>
      </c>
      <c r="D61" s="29" t="s">
        <v>2</v>
      </c>
      <c r="E61" s="98"/>
      <c r="F61" s="65">
        <v>188325</v>
      </c>
      <c r="G61" s="568">
        <v>88919</v>
      </c>
      <c r="H61" s="91">
        <f t="shared" si="1"/>
        <v>2.1179387982320987</v>
      </c>
      <c r="I61" s="92">
        <v>35.200000000000003</v>
      </c>
      <c r="J61" s="92">
        <v>5348.4</v>
      </c>
      <c r="K61" s="109">
        <v>476</v>
      </c>
      <c r="L61" s="110"/>
      <c r="M61" s="111">
        <v>77794</v>
      </c>
      <c r="N61" s="111">
        <v>79846</v>
      </c>
      <c r="O61" s="111">
        <v>0</v>
      </c>
      <c r="P61" s="111">
        <v>0</v>
      </c>
      <c r="Q61" s="111">
        <v>88919</v>
      </c>
      <c r="R61" s="111">
        <v>88919</v>
      </c>
    </row>
    <row r="62" spans="1:18" x14ac:dyDescent="0.2">
      <c r="A62" s="8">
        <v>14220</v>
      </c>
      <c r="B62" s="8" t="s">
        <v>117</v>
      </c>
      <c r="C62" s="8" t="s">
        <v>16</v>
      </c>
      <c r="D62" s="29" t="s">
        <v>1</v>
      </c>
      <c r="E62" s="98" t="s">
        <v>185</v>
      </c>
      <c r="F62" s="65">
        <v>18059</v>
      </c>
      <c r="G62" s="568">
        <v>8908</v>
      </c>
      <c r="H62" s="91">
        <f t="shared" si="1"/>
        <v>2.0272788504714865</v>
      </c>
      <c r="I62" s="92">
        <v>9404.7999999999993</v>
      </c>
      <c r="J62" s="92">
        <v>1.9</v>
      </c>
      <c r="K62" s="109">
        <v>398</v>
      </c>
      <c r="L62" s="110"/>
      <c r="M62" s="111">
        <v>6987</v>
      </c>
      <c r="N62" s="111">
        <v>6987</v>
      </c>
      <c r="O62" s="111">
        <v>0</v>
      </c>
      <c r="P62" s="111">
        <v>0</v>
      </c>
      <c r="Q62" s="111">
        <v>8908</v>
      </c>
      <c r="R62" s="111">
        <v>8908</v>
      </c>
    </row>
    <row r="63" spans="1:18" x14ac:dyDescent="0.2">
      <c r="A63" s="8">
        <v>14300</v>
      </c>
      <c r="B63" s="8" t="s">
        <v>118</v>
      </c>
      <c r="C63" s="8" t="s">
        <v>21</v>
      </c>
      <c r="D63" s="29" t="s">
        <v>1</v>
      </c>
      <c r="E63" s="98" t="s">
        <v>190</v>
      </c>
      <c r="F63" s="65">
        <v>6520</v>
      </c>
      <c r="G63" s="568">
        <v>3109</v>
      </c>
      <c r="H63" s="91">
        <f t="shared" si="1"/>
        <v>2.0971373431971694</v>
      </c>
      <c r="I63" s="92">
        <v>2030</v>
      </c>
      <c r="J63" s="92">
        <v>3.2</v>
      </c>
      <c r="K63" s="109">
        <v>452</v>
      </c>
      <c r="L63" s="110"/>
      <c r="M63" s="111">
        <v>2410</v>
      </c>
      <c r="N63" s="111">
        <v>2191</v>
      </c>
      <c r="O63" s="111">
        <v>0</v>
      </c>
      <c r="P63" s="111">
        <v>1766</v>
      </c>
      <c r="Q63" s="111">
        <v>0</v>
      </c>
      <c r="R63" s="111">
        <v>3109</v>
      </c>
    </row>
    <row r="64" spans="1:18" x14ac:dyDescent="0.2">
      <c r="A64" s="8">
        <v>14350</v>
      </c>
      <c r="B64" s="8" t="s">
        <v>119</v>
      </c>
      <c r="C64" s="8" t="s">
        <v>39</v>
      </c>
      <c r="D64" s="29" t="s">
        <v>3</v>
      </c>
      <c r="E64" s="98" t="s">
        <v>189</v>
      </c>
      <c r="F64" s="65">
        <v>31453</v>
      </c>
      <c r="G64" s="568">
        <v>16184</v>
      </c>
      <c r="H64" s="91">
        <f t="shared" si="1"/>
        <v>1.9434626791893228</v>
      </c>
      <c r="I64" s="92">
        <v>3375.7</v>
      </c>
      <c r="J64" s="92">
        <v>9.3000000000000007</v>
      </c>
      <c r="K64" s="109">
        <v>485</v>
      </c>
      <c r="L64" s="110"/>
      <c r="M64" s="111">
        <v>12088</v>
      </c>
      <c r="N64" s="111">
        <v>11040</v>
      </c>
      <c r="O64" s="111">
        <v>0</v>
      </c>
      <c r="P64" s="111">
        <v>11040</v>
      </c>
      <c r="Q64" s="111">
        <v>0</v>
      </c>
      <c r="R64" s="111">
        <v>16184</v>
      </c>
    </row>
    <row r="65" spans="1:18" x14ac:dyDescent="0.2">
      <c r="A65" s="8">
        <v>14400</v>
      </c>
      <c r="B65" s="8" t="s">
        <v>120</v>
      </c>
      <c r="C65" s="8" t="s">
        <v>37</v>
      </c>
      <c r="D65" s="29" t="s">
        <v>2</v>
      </c>
      <c r="E65" s="98" t="s">
        <v>37</v>
      </c>
      <c r="F65" s="65">
        <v>23002</v>
      </c>
      <c r="G65" s="568">
        <v>10766</v>
      </c>
      <c r="H65" s="91">
        <f t="shared" si="1"/>
        <v>2.1365409622886866</v>
      </c>
      <c r="I65" s="92">
        <v>257.7</v>
      </c>
      <c r="J65" s="92">
        <v>89.3</v>
      </c>
      <c r="K65" s="109">
        <v>611.5</v>
      </c>
      <c r="L65" s="112" t="s">
        <v>457</v>
      </c>
      <c r="M65" s="111">
        <v>11156</v>
      </c>
      <c r="N65" s="111">
        <v>10322</v>
      </c>
      <c r="O65" s="111">
        <v>0</v>
      </c>
      <c r="P65" s="111">
        <v>9215</v>
      </c>
      <c r="Q65" s="111">
        <v>11156</v>
      </c>
      <c r="R65" s="111">
        <v>11156</v>
      </c>
    </row>
    <row r="66" spans="1:18" x14ac:dyDescent="0.2">
      <c r="A66" s="8">
        <v>14500</v>
      </c>
      <c r="B66" s="8" t="s">
        <v>51</v>
      </c>
      <c r="C66" s="8" t="s">
        <v>24</v>
      </c>
      <c r="D66" s="29" t="s">
        <v>2</v>
      </c>
      <c r="E66" s="98"/>
      <c r="F66" s="65">
        <v>126983</v>
      </c>
      <c r="G66" s="568">
        <v>48275</v>
      </c>
      <c r="H66" s="91">
        <f t="shared" si="1"/>
        <v>2.6304091144484723</v>
      </c>
      <c r="I66" s="92">
        <v>85.4</v>
      </c>
      <c r="J66" s="92">
        <v>1486.8</v>
      </c>
      <c r="K66" s="109">
        <v>487</v>
      </c>
      <c r="L66" s="110"/>
      <c r="M66" s="111">
        <v>45239</v>
      </c>
      <c r="N66" s="111">
        <v>45658</v>
      </c>
      <c r="O66" s="111">
        <v>35365</v>
      </c>
      <c r="P66" s="111">
        <v>0</v>
      </c>
      <c r="Q66" s="111">
        <v>48275</v>
      </c>
      <c r="R66" s="111">
        <v>48275</v>
      </c>
    </row>
    <row r="67" spans="1:18" x14ac:dyDescent="0.2">
      <c r="A67" s="8">
        <v>14550</v>
      </c>
      <c r="B67" s="8" t="s">
        <v>121</v>
      </c>
      <c r="C67" s="8" t="s">
        <v>19</v>
      </c>
      <c r="D67" s="29" t="s">
        <v>3</v>
      </c>
      <c r="E67" s="98" t="s">
        <v>186</v>
      </c>
      <c r="F67" s="65">
        <v>9468</v>
      </c>
      <c r="G67" s="568">
        <v>6094</v>
      </c>
      <c r="H67" s="91">
        <f t="shared" si="1"/>
        <v>1.5536593370528389</v>
      </c>
      <c r="I67" s="92">
        <v>3584.2</v>
      </c>
      <c r="J67" s="92">
        <v>2.6</v>
      </c>
      <c r="K67" s="109">
        <v>482</v>
      </c>
      <c r="L67" s="110"/>
      <c r="M67" s="111">
        <v>2096</v>
      </c>
      <c r="N67" s="111">
        <v>2096</v>
      </c>
      <c r="O67" s="111">
        <v>0</v>
      </c>
      <c r="P67" s="111">
        <v>0</v>
      </c>
      <c r="Q67" s="111">
        <v>0</v>
      </c>
      <c r="R67" s="111">
        <v>6094</v>
      </c>
    </row>
    <row r="68" spans="1:18" x14ac:dyDescent="0.2">
      <c r="A68" s="8">
        <v>14600</v>
      </c>
      <c r="B68" s="8" t="s">
        <v>122</v>
      </c>
      <c r="C68" s="8" t="s">
        <v>38</v>
      </c>
      <c r="D68" s="29" t="s">
        <v>1</v>
      </c>
      <c r="E68" s="98" t="s">
        <v>188</v>
      </c>
      <c r="F68" s="65">
        <v>6147</v>
      </c>
      <c r="G68" s="568">
        <v>5400</v>
      </c>
      <c r="H68" s="91">
        <f t="shared" si="1"/>
        <v>1.1383333333333334</v>
      </c>
      <c r="I68" s="92">
        <v>14968.3</v>
      </c>
      <c r="J68" s="92">
        <v>0.4</v>
      </c>
      <c r="K68" s="109">
        <v>537</v>
      </c>
      <c r="L68" s="110"/>
      <c r="M68" s="111">
        <v>3050</v>
      </c>
      <c r="N68" s="111">
        <v>3000</v>
      </c>
      <c r="O68" s="111">
        <v>0</v>
      </c>
      <c r="P68" s="111">
        <v>0</v>
      </c>
      <c r="Q68" s="111">
        <v>0</v>
      </c>
      <c r="R68" s="111">
        <v>0</v>
      </c>
    </row>
    <row r="69" spans="1:18" x14ac:dyDescent="0.2">
      <c r="A69" s="8">
        <v>14650</v>
      </c>
      <c r="B69" s="8" t="s">
        <v>123</v>
      </c>
      <c r="C69" s="8" t="s">
        <v>23</v>
      </c>
      <c r="D69" s="29" t="s">
        <v>2</v>
      </c>
      <c r="E69" s="98" t="s">
        <v>193</v>
      </c>
      <c r="F69" s="65">
        <v>219249</v>
      </c>
      <c r="G69" s="568">
        <v>88626</v>
      </c>
      <c r="H69" s="91">
        <f t="shared" ref="H69:H100" si="2">F69/G69</f>
        <v>2.4738677137634553</v>
      </c>
      <c r="I69" s="92">
        <v>648.6</v>
      </c>
      <c r="J69" s="92">
        <v>338</v>
      </c>
      <c r="K69" s="109">
        <v>492</v>
      </c>
      <c r="L69" s="110"/>
      <c r="M69" s="111">
        <v>85853</v>
      </c>
      <c r="N69" s="111">
        <v>86426</v>
      </c>
      <c r="O69" s="111">
        <v>0</v>
      </c>
      <c r="P69" s="111">
        <v>86426</v>
      </c>
      <c r="Q69" s="111">
        <v>88626</v>
      </c>
      <c r="R69" s="111">
        <v>88626</v>
      </c>
    </row>
    <row r="70" spans="1:18" x14ac:dyDescent="0.2">
      <c r="A70" s="8">
        <v>14700</v>
      </c>
      <c r="B70" s="8" t="s">
        <v>52</v>
      </c>
      <c r="C70" s="8" t="s">
        <v>24</v>
      </c>
      <c r="D70" s="29" t="s">
        <v>2</v>
      </c>
      <c r="E70" s="98"/>
      <c r="F70" s="65">
        <v>41549</v>
      </c>
      <c r="G70" s="568">
        <v>18945</v>
      </c>
      <c r="H70" s="91">
        <f t="shared" si="2"/>
        <v>2.1931380311427819</v>
      </c>
      <c r="I70" s="92">
        <v>10.5</v>
      </c>
      <c r="J70" s="92">
        <v>3965</v>
      </c>
      <c r="K70" s="109">
        <v>498</v>
      </c>
      <c r="L70" s="110"/>
      <c r="M70" s="111">
        <v>18807</v>
      </c>
      <c r="N70" s="111">
        <v>18807</v>
      </c>
      <c r="O70" s="111">
        <v>6804</v>
      </c>
      <c r="P70" s="111">
        <v>0</v>
      </c>
      <c r="Q70" s="111">
        <v>18945</v>
      </c>
      <c r="R70" s="111">
        <v>18945</v>
      </c>
    </row>
    <row r="71" spans="1:18" x14ac:dyDescent="0.2">
      <c r="A71" s="8">
        <v>14750</v>
      </c>
      <c r="B71" s="8" t="s">
        <v>124</v>
      </c>
      <c r="C71" s="8" t="s">
        <v>68</v>
      </c>
      <c r="D71" s="29" t="s">
        <v>1</v>
      </c>
      <c r="E71" s="98" t="s">
        <v>184</v>
      </c>
      <c r="F71" s="65">
        <v>11431</v>
      </c>
      <c r="G71" s="568">
        <v>5547</v>
      </c>
      <c r="H71" s="91">
        <f t="shared" si="2"/>
        <v>2.060753560483144</v>
      </c>
      <c r="I71" s="92">
        <v>1167.2</v>
      </c>
      <c r="J71" s="92">
        <v>9.8000000000000007</v>
      </c>
      <c r="K71" s="109">
        <v>330</v>
      </c>
      <c r="L71" s="110"/>
      <c r="M71" s="111">
        <v>4313</v>
      </c>
      <c r="N71" s="111">
        <v>3958</v>
      </c>
      <c r="O71" s="111">
        <v>0</v>
      </c>
      <c r="P71" s="111">
        <v>0</v>
      </c>
      <c r="Q71" s="111">
        <v>0</v>
      </c>
      <c r="R71" s="111">
        <v>5547</v>
      </c>
    </row>
    <row r="72" spans="1:18" x14ac:dyDescent="0.2">
      <c r="A72" s="8">
        <v>14850</v>
      </c>
      <c r="B72" s="8" t="s">
        <v>125</v>
      </c>
      <c r="C72" s="8" t="s">
        <v>19</v>
      </c>
      <c r="D72" s="29" t="s">
        <v>3</v>
      </c>
      <c r="E72" s="98" t="s">
        <v>186</v>
      </c>
      <c r="F72" s="65">
        <v>43907</v>
      </c>
      <c r="G72" s="568">
        <v>18475</v>
      </c>
      <c r="H72" s="91">
        <f t="shared" si="2"/>
        <v>2.3765629228687417</v>
      </c>
      <c r="I72" s="92">
        <v>1287.7</v>
      </c>
      <c r="J72" s="92">
        <v>34.1</v>
      </c>
      <c r="K72" s="109">
        <v>327.3</v>
      </c>
      <c r="L72" s="110"/>
      <c r="M72" s="111">
        <v>14325</v>
      </c>
      <c r="N72" s="111">
        <v>15662</v>
      </c>
      <c r="O72" s="111">
        <v>0</v>
      </c>
      <c r="P72" s="111">
        <v>13014</v>
      </c>
      <c r="Q72" s="111">
        <v>0</v>
      </c>
      <c r="R72" s="111">
        <v>18475</v>
      </c>
    </row>
    <row r="73" spans="1:18" x14ac:dyDescent="0.2">
      <c r="A73" s="8">
        <v>14870</v>
      </c>
      <c r="B73" s="8" t="s">
        <v>126</v>
      </c>
      <c r="C73" s="8" t="s">
        <v>38</v>
      </c>
      <c r="D73" s="29" t="s">
        <v>1</v>
      </c>
      <c r="E73" s="98"/>
      <c r="F73" s="65">
        <v>20724</v>
      </c>
      <c r="G73" s="568">
        <v>11670</v>
      </c>
      <c r="H73" s="91">
        <f t="shared" si="2"/>
        <v>1.7758354755784063</v>
      </c>
      <c r="I73" s="92">
        <v>4512.3</v>
      </c>
      <c r="J73" s="92">
        <v>4.5999999999999996</v>
      </c>
      <c r="K73" s="109">
        <v>474</v>
      </c>
      <c r="L73" s="110"/>
      <c r="M73" s="111">
        <v>8397</v>
      </c>
      <c r="N73" s="111">
        <v>8397</v>
      </c>
      <c r="O73" s="111">
        <v>0</v>
      </c>
      <c r="P73" s="111">
        <v>0</v>
      </c>
      <c r="Q73" s="111">
        <v>11670</v>
      </c>
      <c r="R73" s="111">
        <v>11670</v>
      </c>
    </row>
    <row r="74" spans="1:18" x14ac:dyDescent="0.2">
      <c r="A74" s="8">
        <v>14900</v>
      </c>
      <c r="B74" s="8" t="s">
        <v>53</v>
      </c>
      <c r="C74" s="8" t="s">
        <v>18</v>
      </c>
      <c r="D74" s="29" t="s">
        <v>2</v>
      </c>
      <c r="E74" s="98"/>
      <c r="F74" s="65">
        <v>247672</v>
      </c>
      <c r="G74" s="568">
        <v>77898</v>
      </c>
      <c r="H74" s="91">
        <f t="shared" si="2"/>
        <v>3.1794397802254228</v>
      </c>
      <c r="I74" s="92">
        <v>305.7</v>
      </c>
      <c r="J74" s="92">
        <v>810.1</v>
      </c>
      <c r="K74" s="109">
        <v>570</v>
      </c>
      <c r="L74" s="110"/>
      <c r="M74" s="111">
        <v>77522</v>
      </c>
      <c r="N74" s="111">
        <v>77522</v>
      </c>
      <c r="O74" s="111">
        <v>56858</v>
      </c>
      <c r="P74" s="111">
        <v>0</v>
      </c>
      <c r="Q74" s="111">
        <v>77898</v>
      </c>
      <c r="R74" s="111">
        <v>77898</v>
      </c>
    </row>
    <row r="75" spans="1:18" x14ac:dyDescent="0.2">
      <c r="A75" s="8">
        <v>14920</v>
      </c>
      <c r="B75" s="8" t="s">
        <v>127</v>
      </c>
      <c r="C75" s="8" t="s">
        <v>16</v>
      </c>
      <c r="D75" s="29" t="s">
        <v>1</v>
      </c>
      <c r="E75" s="98" t="s">
        <v>194</v>
      </c>
      <c r="F75" s="65">
        <v>7667</v>
      </c>
      <c r="G75" s="568">
        <v>3929</v>
      </c>
      <c r="H75" s="91">
        <f t="shared" si="2"/>
        <v>1.9513871214049376</v>
      </c>
      <c r="I75" s="92">
        <v>5082.2</v>
      </c>
      <c r="J75" s="92">
        <v>1.5</v>
      </c>
      <c r="K75" s="109">
        <v>453</v>
      </c>
      <c r="L75" s="110"/>
      <c r="M75" s="111">
        <v>1700</v>
      </c>
      <c r="N75" s="111">
        <v>1700</v>
      </c>
      <c r="O75" s="111">
        <v>0</v>
      </c>
      <c r="P75" s="111">
        <v>0</v>
      </c>
      <c r="Q75" s="111">
        <v>3929</v>
      </c>
      <c r="R75" s="111">
        <v>3929</v>
      </c>
    </row>
    <row r="76" spans="1:18" x14ac:dyDescent="0.2">
      <c r="A76" s="8">
        <v>14950</v>
      </c>
      <c r="B76" s="8" t="s">
        <v>128</v>
      </c>
      <c r="C76" s="8" t="s">
        <v>21</v>
      </c>
      <c r="D76" s="29" t="s">
        <v>1</v>
      </c>
      <c r="E76" s="98" t="s">
        <v>190</v>
      </c>
      <c r="F76" s="65">
        <v>3396</v>
      </c>
      <c r="G76" s="568">
        <v>2680</v>
      </c>
      <c r="H76" s="91">
        <f t="shared" si="2"/>
        <v>1.2671641791044777</v>
      </c>
      <c r="I76" s="92">
        <v>2895.8</v>
      </c>
      <c r="J76" s="92">
        <v>1.2</v>
      </c>
      <c r="K76" s="109">
        <v>408</v>
      </c>
      <c r="L76" s="110"/>
      <c r="M76" s="111">
        <v>2680</v>
      </c>
      <c r="N76" s="111">
        <v>2680</v>
      </c>
      <c r="O76" s="111">
        <v>0</v>
      </c>
      <c r="P76" s="111">
        <v>2680</v>
      </c>
      <c r="Q76" s="111">
        <v>2680</v>
      </c>
      <c r="R76" s="111">
        <v>2680</v>
      </c>
    </row>
    <row r="77" spans="1:18" x14ac:dyDescent="0.2">
      <c r="A77" s="8">
        <v>15050</v>
      </c>
      <c r="B77" s="8" t="s">
        <v>129</v>
      </c>
      <c r="C77" s="8" t="s">
        <v>23</v>
      </c>
      <c r="D77" s="29" t="s">
        <v>2</v>
      </c>
      <c r="E77" s="98" t="s">
        <v>193</v>
      </c>
      <c r="F77" s="65">
        <v>95957</v>
      </c>
      <c r="G77" s="568">
        <v>36938</v>
      </c>
      <c r="H77" s="91">
        <f t="shared" si="2"/>
        <v>2.597785478369159</v>
      </c>
      <c r="I77" s="92">
        <v>391.5</v>
      </c>
      <c r="J77" s="92">
        <v>245.1</v>
      </c>
      <c r="K77" s="109">
        <v>530.35</v>
      </c>
      <c r="L77" s="110"/>
      <c r="M77" s="111">
        <v>34593</v>
      </c>
      <c r="N77" s="111">
        <v>34593</v>
      </c>
      <c r="O77" s="111">
        <v>34593</v>
      </c>
      <c r="P77" s="111">
        <v>0</v>
      </c>
      <c r="Q77" s="111">
        <v>36938</v>
      </c>
      <c r="R77" s="111">
        <v>36938</v>
      </c>
    </row>
    <row r="78" spans="1:18" x14ac:dyDescent="0.2">
      <c r="A78" s="8">
        <v>15240</v>
      </c>
      <c r="B78" s="8" t="s">
        <v>130</v>
      </c>
      <c r="C78" s="8" t="s">
        <v>39</v>
      </c>
      <c r="D78" s="29" t="s">
        <v>3</v>
      </c>
      <c r="E78" s="98" t="s">
        <v>193</v>
      </c>
      <c r="F78" s="65">
        <v>97909</v>
      </c>
      <c r="G78" s="568">
        <v>50350</v>
      </c>
      <c r="H78" s="91">
        <f t="shared" si="2"/>
        <v>1.9445680238331677</v>
      </c>
      <c r="I78" s="92">
        <v>10053.9</v>
      </c>
      <c r="J78" s="92">
        <v>9.6999999999999993</v>
      </c>
      <c r="K78" s="109">
        <v>393</v>
      </c>
      <c r="L78" s="110"/>
      <c r="M78" s="111">
        <v>46664</v>
      </c>
      <c r="N78" s="111">
        <v>46156</v>
      </c>
      <c r="O78" s="111">
        <v>38850</v>
      </c>
      <c r="P78" s="111">
        <v>0</v>
      </c>
      <c r="Q78" s="111">
        <v>50350</v>
      </c>
      <c r="R78" s="111">
        <v>50350</v>
      </c>
    </row>
    <row r="79" spans="1:18" x14ac:dyDescent="0.2">
      <c r="A79" s="8">
        <v>15270</v>
      </c>
      <c r="B79" s="8" t="s">
        <v>131</v>
      </c>
      <c r="C79" s="8" t="s">
        <v>38</v>
      </c>
      <c r="D79" s="29" t="s">
        <v>1</v>
      </c>
      <c r="E79" s="98" t="s">
        <v>191</v>
      </c>
      <c r="F79" s="65">
        <v>25921</v>
      </c>
      <c r="G79" s="568">
        <v>16004</v>
      </c>
      <c r="H79" s="91">
        <f t="shared" si="2"/>
        <v>1.6196575856035991</v>
      </c>
      <c r="I79" s="92">
        <v>8752.2999999999993</v>
      </c>
      <c r="J79" s="92">
        <v>3</v>
      </c>
      <c r="K79" s="109">
        <v>315</v>
      </c>
      <c r="L79" s="110"/>
      <c r="M79" s="111">
        <v>8399</v>
      </c>
      <c r="N79" s="111">
        <v>16798</v>
      </c>
      <c r="O79" s="111">
        <v>0</v>
      </c>
      <c r="P79" s="111">
        <v>8399</v>
      </c>
      <c r="Q79" s="111">
        <v>0</v>
      </c>
      <c r="R79" s="111">
        <v>16004</v>
      </c>
    </row>
    <row r="80" spans="1:18" x14ac:dyDescent="0.2">
      <c r="A80" s="8">
        <v>15300</v>
      </c>
      <c r="B80" s="8" t="s">
        <v>132</v>
      </c>
      <c r="C80" s="8" t="s">
        <v>16</v>
      </c>
      <c r="D80" s="29" t="s">
        <v>1</v>
      </c>
      <c r="E80" s="98" t="s">
        <v>185</v>
      </c>
      <c r="F80" s="65">
        <v>12873</v>
      </c>
      <c r="G80" s="568">
        <v>6359</v>
      </c>
      <c r="H80" s="91">
        <f t="shared" si="2"/>
        <v>2.0243749017141059</v>
      </c>
      <c r="I80" s="92">
        <v>17902.7</v>
      </c>
      <c r="J80" s="92">
        <v>0.7</v>
      </c>
      <c r="K80" s="109">
        <v>381.65</v>
      </c>
      <c r="L80" s="110"/>
      <c r="M80" s="111">
        <v>4577</v>
      </c>
      <c r="N80" s="111">
        <v>4638</v>
      </c>
      <c r="O80" s="111">
        <v>0</v>
      </c>
      <c r="P80" s="111">
        <v>4577</v>
      </c>
      <c r="Q80" s="111">
        <v>6359</v>
      </c>
      <c r="R80" s="111">
        <v>6359</v>
      </c>
    </row>
    <row r="81" spans="1:18" x14ac:dyDescent="0.2">
      <c r="A81" s="8">
        <v>15350</v>
      </c>
      <c r="B81" s="8" t="s">
        <v>133</v>
      </c>
      <c r="C81" s="8" t="s">
        <v>24</v>
      </c>
      <c r="D81" s="29" t="s">
        <v>2</v>
      </c>
      <c r="E81" s="98"/>
      <c r="F81" s="65">
        <v>29071</v>
      </c>
      <c r="G81" s="568">
        <v>13350</v>
      </c>
      <c r="H81" s="91">
        <f t="shared" si="2"/>
        <v>2.1776029962546817</v>
      </c>
      <c r="I81" s="92">
        <v>8.6999999999999993</v>
      </c>
      <c r="J81" s="92">
        <v>3360.7</v>
      </c>
      <c r="K81" s="109">
        <v>649</v>
      </c>
      <c r="L81" s="110"/>
      <c r="M81" s="111">
        <v>13350</v>
      </c>
      <c r="N81" s="111">
        <v>13350</v>
      </c>
      <c r="O81" s="111">
        <v>13350</v>
      </c>
      <c r="P81" s="111">
        <v>0</v>
      </c>
      <c r="Q81" s="111">
        <v>13350</v>
      </c>
      <c r="R81" s="111">
        <v>13350</v>
      </c>
    </row>
    <row r="82" spans="1:18" x14ac:dyDescent="0.2">
      <c r="A82" s="8">
        <v>15520</v>
      </c>
      <c r="B82" s="8" t="s">
        <v>134</v>
      </c>
      <c r="C82" s="8" t="s">
        <v>66</v>
      </c>
      <c r="D82" s="29" t="s">
        <v>1</v>
      </c>
      <c r="E82" s="98" t="s">
        <v>184</v>
      </c>
      <c r="F82" s="65">
        <v>13326</v>
      </c>
      <c r="G82" s="568">
        <v>8909</v>
      </c>
      <c r="H82" s="91">
        <f t="shared" si="2"/>
        <v>1.4957907733752385</v>
      </c>
      <c r="I82" s="92">
        <v>11863</v>
      </c>
      <c r="J82" s="92">
        <v>1.1000000000000001</v>
      </c>
      <c r="K82" s="109">
        <v>440</v>
      </c>
      <c r="L82" s="110"/>
      <c r="M82" s="111">
        <v>5895</v>
      </c>
      <c r="N82" s="111">
        <v>3025</v>
      </c>
      <c r="O82" s="111">
        <v>0</v>
      </c>
      <c r="P82" s="111">
        <v>2093</v>
      </c>
      <c r="Q82" s="111">
        <v>0</v>
      </c>
      <c r="R82" s="111">
        <v>8909</v>
      </c>
    </row>
    <row r="83" spans="1:18" x14ac:dyDescent="0.2">
      <c r="A83" s="8">
        <v>15560</v>
      </c>
      <c r="B83" s="8" t="s">
        <v>135</v>
      </c>
      <c r="C83" s="8" t="s">
        <v>68</v>
      </c>
      <c r="D83" s="29" t="s">
        <v>1</v>
      </c>
      <c r="E83" s="98" t="s">
        <v>184</v>
      </c>
      <c r="F83" s="65">
        <v>3607</v>
      </c>
      <c r="G83" s="568">
        <v>2415</v>
      </c>
      <c r="H83" s="91">
        <f t="shared" si="2"/>
        <v>1.4935817805383023</v>
      </c>
      <c r="I83" s="92">
        <v>6880.8</v>
      </c>
      <c r="J83" s="92">
        <v>0.5</v>
      </c>
      <c r="K83" s="109">
        <v>0</v>
      </c>
      <c r="L83" s="110"/>
      <c r="M83" s="111">
        <v>1221</v>
      </c>
      <c r="N83" s="111">
        <v>800</v>
      </c>
      <c r="O83" s="111">
        <v>0</v>
      </c>
      <c r="P83" s="111">
        <v>0</v>
      </c>
      <c r="Q83" s="111">
        <v>2415</v>
      </c>
      <c r="R83" s="111">
        <v>2415</v>
      </c>
    </row>
    <row r="84" spans="1:18" x14ac:dyDescent="0.2">
      <c r="A84" s="8">
        <v>15650</v>
      </c>
      <c r="B84" s="8" t="s">
        <v>136</v>
      </c>
      <c r="C84" s="8" t="s">
        <v>23</v>
      </c>
      <c r="D84" s="29" t="s">
        <v>3</v>
      </c>
      <c r="E84" s="98" t="s">
        <v>193</v>
      </c>
      <c r="F84" s="65">
        <v>16778</v>
      </c>
      <c r="G84" s="568">
        <v>8235</v>
      </c>
      <c r="H84" s="91">
        <f t="shared" si="2"/>
        <v>2.0374013357619916</v>
      </c>
      <c r="I84" s="92">
        <v>3404.9</v>
      </c>
      <c r="J84" s="92">
        <v>4.9000000000000004</v>
      </c>
      <c r="K84" s="109">
        <v>438</v>
      </c>
      <c r="L84" s="110"/>
      <c r="M84" s="111">
        <v>7142</v>
      </c>
      <c r="N84" s="111">
        <v>6473</v>
      </c>
      <c r="O84" s="111">
        <v>6048</v>
      </c>
      <c r="P84" s="111">
        <v>0</v>
      </c>
      <c r="Q84" s="111">
        <v>8235</v>
      </c>
      <c r="R84" s="111">
        <v>8235</v>
      </c>
    </row>
    <row r="85" spans="1:18" x14ac:dyDescent="0.2">
      <c r="A85" s="8">
        <v>15700</v>
      </c>
      <c r="B85" s="8" t="s">
        <v>54</v>
      </c>
      <c r="C85" s="8" t="s">
        <v>39</v>
      </c>
      <c r="D85" s="29" t="s">
        <v>3</v>
      </c>
      <c r="E85" s="98"/>
      <c r="F85" s="65">
        <v>20774</v>
      </c>
      <c r="G85" s="568">
        <v>10914</v>
      </c>
      <c r="H85" s="91">
        <f t="shared" si="2"/>
        <v>1.9034267912772587</v>
      </c>
      <c r="I85" s="92">
        <v>1491.3</v>
      </c>
      <c r="J85" s="92">
        <v>13.9</v>
      </c>
      <c r="K85" s="109">
        <v>611</v>
      </c>
      <c r="L85" s="110"/>
      <c r="M85" s="111">
        <v>7740</v>
      </c>
      <c r="N85" s="111">
        <v>7740</v>
      </c>
      <c r="O85" s="111">
        <v>0</v>
      </c>
      <c r="P85" s="111">
        <v>7740</v>
      </c>
      <c r="Q85" s="111">
        <v>10914</v>
      </c>
      <c r="R85" s="111">
        <v>10914</v>
      </c>
    </row>
    <row r="86" spans="1:18" x14ac:dyDescent="0.2">
      <c r="A86" s="8">
        <v>15750</v>
      </c>
      <c r="B86" s="8" t="s">
        <v>137</v>
      </c>
      <c r="C86" s="8" t="s">
        <v>16</v>
      </c>
      <c r="D86" s="29" t="s">
        <v>1</v>
      </c>
      <c r="E86" s="98" t="s">
        <v>185</v>
      </c>
      <c r="F86" s="65">
        <v>12754</v>
      </c>
      <c r="G86" s="568">
        <v>6908</v>
      </c>
      <c r="H86" s="91">
        <f t="shared" si="2"/>
        <v>1.8462651997683845</v>
      </c>
      <c r="I86" s="92">
        <v>13015</v>
      </c>
      <c r="J86" s="92">
        <v>1</v>
      </c>
      <c r="K86" s="109">
        <v>380</v>
      </c>
      <c r="L86" s="110"/>
      <c r="M86" s="111">
        <v>4394</v>
      </c>
      <c r="N86" s="111">
        <v>4324</v>
      </c>
      <c r="O86" s="111">
        <v>0</v>
      </c>
      <c r="P86" s="111">
        <v>4324</v>
      </c>
      <c r="Q86" s="111">
        <v>6908</v>
      </c>
      <c r="R86" s="111">
        <v>6908</v>
      </c>
    </row>
    <row r="87" spans="1:18" x14ac:dyDescent="0.2">
      <c r="A87" s="8">
        <v>15800</v>
      </c>
      <c r="B87" s="8" t="s">
        <v>138</v>
      </c>
      <c r="C87" s="8" t="s">
        <v>68</v>
      </c>
      <c r="D87" s="29" t="s">
        <v>1</v>
      </c>
      <c r="E87" s="98" t="s">
        <v>184</v>
      </c>
      <c r="F87" s="65">
        <v>5692</v>
      </c>
      <c r="G87" s="568">
        <v>2133</v>
      </c>
      <c r="H87" s="91">
        <f t="shared" si="2"/>
        <v>2.6685419596812001</v>
      </c>
      <c r="I87" s="92">
        <v>4116.3</v>
      </c>
      <c r="J87" s="92">
        <v>1.4</v>
      </c>
      <c r="K87" s="109">
        <v>224</v>
      </c>
      <c r="L87" s="110"/>
      <c r="M87" s="111">
        <v>2424</v>
      </c>
      <c r="N87" s="111">
        <v>2156</v>
      </c>
      <c r="O87" s="111">
        <v>0</v>
      </c>
      <c r="P87" s="111">
        <v>0</v>
      </c>
      <c r="Q87" s="111">
        <v>2133</v>
      </c>
      <c r="R87" s="111">
        <v>2133</v>
      </c>
    </row>
    <row r="88" spans="1:18" x14ac:dyDescent="0.2">
      <c r="A88" s="8">
        <v>15850</v>
      </c>
      <c r="B88" s="8" t="s">
        <v>139</v>
      </c>
      <c r="C88" s="8" t="s">
        <v>38</v>
      </c>
      <c r="D88" s="29" t="s">
        <v>1</v>
      </c>
      <c r="E88" s="98" t="s">
        <v>191</v>
      </c>
      <c r="F88" s="65">
        <v>6443</v>
      </c>
      <c r="G88" s="568">
        <v>3426</v>
      </c>
      <c r="H88" s="91">
        <f t="shared" si="2"/>
        <v>1.8806187974314068</v>
      </c>
      <c r="I88" s="92">
        <v>5261.5</v>
      </c>
      <c r="J88" s="92">
        <v>1.2</v>
      </c>
      <c r="K88" s="109">
        <v>624</v>
      </c>
      <c r="L88" s="110"/>
      <c r="M88" s="111">
        <v>2928</v>
      </c>
      <c r="N88" s="111">
        <v>2380</v>
      </c>
      <c r="O88" s="111">
        <v>0</v>
      </c>
      <c r="P88" s="111">
        <v>2082</v>
      </c>
      <c r="Q88" s="111">
        <v>3426</v>
      </c>
      <c r="R88" s="111">
        <v>0</v>
      </c>
    </row>
    <row r="89" spans="1:18" x14ac:dyDescent="0.2">
      <c r="A89" s="8">
        <v>15900</v>
      </c>
      <c r="B89" s="8" t="s">
        <v>140</v>
      </c>
      <c r="C89" s="8" t="s">
        <v>23</v>
      </c>
      <c r="D89" s="29" t="s">
        <v>2</v>
      </c>
      <c r="E89" s="98" t="s">
        <v>193</v>
      </c>
      <c r="F89" s="65">
        <v>174294</v>
      </c>
      <c r="G89" s="568">
        <v>74452</v>
      </c>
      <c r="H89" s="91">
        <f t="shared" si="2"/>
        <v>2.3410250899908664</v>
      </c>
      <c r="I89" s="92">
        <v>186.7</v>
      </c>
      <c r="J89" s="92">
        <v>933.4</v>
      </c>
      <c r="K89" s="109">
        <v>460</v>
      </c>
      <c r="L89" s="110"/>
      <c r="M89" s="111">
        <v>70121</v>
      </c>
      <c r="N89" s="111">
        <v>51814</v>
      </c>
      <c r="O89" s="111">
        <v>69687</v>
      </c>
      <c r="P89" s="111">
        <v>0</v>
      </c>
      <c r="Q89" s="111">
        <v>74452</v>
      </c>
      <c r="R89" s="111">
        <v>74452</v>
      </c>
    </row>
    <row r="90" spans="1:18" x14ac:dyDescent="0.2">
      <c r="A90" s="8">
        <v>15950</v>
      </c>
      <c r="B90" s="8" t="s">
        <v>55</v>
      </c>
      <c r="C90" s="8" t="s">
        <v>24</v>
      </c>
      <c r="D90" s="29" t="s">
        <v>2</v>
      </c>
      <c r="E90" s="98"/>
      <c r="F90" s="65">
        <v>72014</v>
      </c>
      <c r="G90" s="568">
        <v>40857</v>
      </c>
      <c r="H90" s="91">
        <f t="shared" si="2"/>
        <v>1.762586582470568</v>
      </c>
      <c r="I90" s="92">
        <v>10.5</v>
      </c>
      <c r="J90" s="92">
        <v>6864.4</v>
      </c>
      <c r="K90" s="109">
        <v>424</v>
      </c>
      <c r="L90" s="110"/>
      <c r="M90" s="111">
        <v>8193</v>
      </c>
      <c r="N90" s="111">
        <v>6428</v>
      </c>
      <c r="O90" s="111">
        <v>0</v>
      </c>
      <c r="P90" s="111">
        <v>0</v>
      </c>
      <c r="Q90" s="111">
        <v>40857</v>
      </c>
      <c r="R90" s="111">
        <v>40857</v>
      </c>
    </row>
    <row r="91" spans="1:18" x14ac:dyDescent="0.2">
      <c r="A91" s="8">
        <v>15990</v>
      </c>
      <c r="B91" s="8" t="s">
        <v>141</v>
      </c>
      <c r="C91" s="8"/>
      <c r="D91" s="29" t="s">
        <v>2</v>
      </c>
      <c r="E91" s="98"/>
      <c r="F91" s="65">
        <v>267921</v>
      </c>
      <c r="G91" s="568">
        <v>117734</v>
      </c>
      <c r="H91" s="91">
        <f t="shared" si="2"/>
        <v>2.2756467970170045</v>
      </c>
      <c r="I91" s="92">
        <v>254.2</v>
      </c>
      <c r="J91" s="92">
        <v>1053.9000000000001</v>
      </c>
      <c r="K91" s="109">
        <v>555</v>
      </c>
      <c r="L91" s="110"/>
      <c r="M91" s="111">
        <v>115536</v>
      </c>
      <c r="N91" s="111">
        <v>115536</v>
      </c>
      <c r="O91" s="111">
        <v>97053</v>
      </c>
      <c r="P91" s="111">
        <v>0</v>
      </c>
      <c r="Q91" s="111">
        <v>117734</v>
      </c>
      <c r="R91" s="111">
        <v>117734</v>
      </c>
    </row>
    <row r="92" spans="1:18" x14ac:dyDescent="0.2">
      <c r="A92" s="8">
        <v>16100</v>
      </c>
      <c r="B92" s="8" t="s">
        <v>142</v>
      </c>
      <c r="C92" s="8" t="s">
        <v>38</v>
      </c>
      <c r="D92" s="29" t="s">
        <v>1</v>
      </c>
      <c r="E92" s="98" t="s">
        <v>188</v>
      </c>
      <c r="F92" s="65">
        <v>5600</v>
      </c>
      <c r="G92" s="568">
        <v>3801</v>
      </c>
      <c r="H92" s="91">
        <f t="shared" si="2"/>
        <v>1.4732965009208103</v>
      </c>
      <c r="I92" s="92">
        <v>3625</v>
      </c>
      <c r="J92" s="92">
        <v>1.5</v>
      </c>
      <c r="K92" s="109">
        <v>245.5</v>
      </c>
      <c r="L92" s="110"/>
      <c r="M92" s="111">
        <v>1246</v>
      </c>
      <c r="N92" s="111">
        <v>0</v>
      </c>
      <c r="O92" s="111">
        <v>0</v>
      </c>
      <c r="P92" s="111">
        <v>0</v>
      </c>
      <c r="Q92" s="111">
        <v>3801</v>
      </c>
      <c r="R92" s="111">
        <v>3801</v>
      </c>
    </row>
    <row r="93" spans="1:18" x14ac:dyDescent="0.2">
      <c r="A93" s="8">
        <v>16150</v>
      </c>
      <c r="B93" s="8" t="s">
        <v>143</v>
      </c>
      <c r="C93" s="8" t="s">
        <v>38</v>
      </c>
      <c r="D93" s="29" t="s">
        <v>1</v>
      </c>
      <c r="E93" s="98" t="s">
        <v>188</v>
      </c>
      <c r="F93" s="65">
        <v>44244</v>
      </c>
      <c r="G93" s="568">
        <v>19569</v>
      </c>
      <c r="H93" s="91">
        <f t="shared" si="2"/>
        <v>2.2609228882416068</v>
      </c>
      <c r="I93" s="92">
        <v>284.2</v>
      </c>
      <c r="J93" s="92">
        <v>155.69999999999999</v>
      </c>
      <c r="K93" s="109">
        <v>479.4</v>
      </c>
      <c r="L93" s="110"/>
      <c r="M93" s="111">
        <v>17028</v>
      </c>
      <c r="N93" s="111">
        <v>17023</v>
      </c>
      <c r="O93" s="111">
        <v>0</v>
      </c>
      <c r="P93" s="111">
        <v>17007</v>
      </c>
      <c r="Q93" s="111">
        <v>19569</v>
      </c>
      <c r="R93" s="111">
        <v>19569</v>
      </c>
    </row>
    <row r="94" spans="1:18" x14ac:dyDescent="0.2">
      <c r="A94" s="8">
        <v>16200</v>
      </c>
      <c r="B94" s="8" t="s">
        <v>144</v>
      </c>
      <c r="C94" s="8" t="s">
        <v>38</v>
      </c>
      <c r="D94" s="29" t="s">
        <v>1</v>
      </c>
      <c r="E94" s="98" t="s">
        <v>188</v>
      </c>
      <c r="F94" s="65">
        <v>14256</v>
      </c>
      <c r="G94" s="568">
        <v>9036</v>
      </c>
      <c r="H94" s="91">
        <f t="shared" si="2"/>
        <v>1.5776892430278884</v>
      </c>
      <c r="I94" s="92">
        <v>5957.6</v>
      </c>
      <c r="J94" s="92">
        <v>2.4</v>
      </c>
      <c r="K94" s="109">
        <v>470</v>
      </c>
      <c r="L94" s="110"/>
      <c r="M94" s="111">
        <v>7835</v>
      </c>
      <c r="N94" s="111">
        <v>7759</v>
      </c>
      <c r="O94" s="111">
        <v>0</v>
      </c>
      <c r="P94" s="111">
        <v>7767</v>
      </c>
      <c r="Q94" s="111">
        <v>9036</v>
      </c>
      <c r="R94" s="111">
        <v>9036</v>
      </c>
    </row>
    <row r="95" spans="1:18" x14ac:dyDescent="0.2">
      <c r="A95" s="8">
        <v>16260</v>
      </c>
      <c r="B95" s="8" t="s">
        <v>56</v>
      </c>
      <c r="C95" s="8" t="s">
        <v>18</v>
      </c>
      <c r="D95" s="29" t="s">
        <v>2</v>
      </c>
      <c r="E95" s="98"/>
      <c r="F95" s="65">
        <v>269145</v>
      </c>
      <c r="G95" s="568">
        <v>107699</v>
      </c>
      <c r="H95" s="91">
        <f t="shared" si="2"/>
        <v>2.4990482734287225</v>
      </c>
      <c r="I95" s="92">
        <v>83.8</v>
      </c>
      <c r="J95" s="92">
        <v>3210.6</v>
      </c>
      <c r="K95" s="109">
        <v>476.7</v>
      </c>
      <c r="L95" s="110"/>
      <c r="M95" s="111">
        <v>92400</v>
      </c>
      <c r="N95" s="111">
        <v>47714</v>
      </c>
      <c r="O95" s="111">
        <v>48719</v>
      </c>
      <c r="P95" s="111">
        <v>0</v>
      </c>
      <c r="Q95" s="111">
        <v>107699</v>
      </c>
      <c r="R95" s="111">
        <v>107699</v>
      </c>
    </row>
    <row r="96" spans="1:18" x14ac:dyDescent="0.2">
      <c r="A96" s="8">
        <v>16350</v>
      </c>
      <c r="B96" s="8" t="s">
        <v>57</v>
      </c>
      <c r="C96" s="8" t="s">
        <v>182</v>
      </c>
      <c r="D96" s="29" t="s">
        <v>2</v>
      </c>
      <c r="E96" s="98"/>
      <c r="F96" s="65">
        <v>224483</v>
      </c>
      <c r="G96" s="568">
        <v>82564</v>
      </c>
      <c r="H96" s="91">
        <f t="shared" si="2"/>
        <v>2.7188968557724915</v>
      </c>
      <c r="I96" s="92">
        <v>404.7</v>
      </c>
      <c r="J96" s="92">
        <v>554.70000000000005</v>
      </c>
      <c r="K96" s="109">
        <v>415</v>
      </c>
      <c r="L96" s="110"/>
      <c r="M96" s="111">
        <v>81267</v>
      </c>
      <c r="N96" s="111">
        <v>81267</v>
      </c>
      <c r="O96" s="111">
        <v>0</v>
      </c>
      <c r="P96" s="111">
        <v>69582</v>
      </c>
      <c r="Q96" s="111">
        <v>82564</v>
      </c>
      <c r="R96" s="111">
        <v>82564</v>
      </c>
    </row>
    <row r="97" spans="1:18" x14ac:dyDescent="0.2">
      <c r="A97" s="8">
        <v>16380</v>
      </c>
      <c r="B97" s="8" t="s">
        <v>145</v>
      </c>
      <c r="C97" s="8" t="s">
        <v>39</v>
      </c>
      <c r="D97" s="29" t="s">
        <v>3</v>
      </c>
      <c r="E97" s="98" t="s">
        <v>189</v>
      </c>
      <c r="F97" s="65">
        <v>89596</v>
      </c>
      <c r="G97" s="568">
        <v>40996</v>
      </c>
      <c r="H97" s="91">
        <f t="shared" si="2"/>
        <v>2.1854815103912575</v>
      </c>
      <c r="I97" s="92">
        <v>3682.4</v>
      </c>
      <c r="J97" s="92">
        <v>24.3</v>
      </c>
      <c r="K97" s="109">
        <v>524.27</v>
      </c>
      <c r="L97" s="110"/>
      <c r="M97" s="111">
        <v>31768</v>
      </c>
      <c r="N97" s="111">
        <v>30984</v>
      </c>
      <c r="O97" s="111">
        <v>0</v>
      </c>
      <c r="P97" s="111">
        <v>30000</v>
      </c>
      <c r="Q97" s="111">
        <v>40996</v>
      </c>
      <c r="R97" s="111">
        <v>40996</v>
      </c>
    </row>
    <row r="98" spans="1:18" x14ac:dyDescent="0.2">
      <c r="A98" s="8">
        <v>16400</v>
      </c>
      <c r="B98" s="8" t="s">
        <v>58</v>
      </c>
      <c r="C98" s="8" t="s">
        <v>23</v>
      </c>
      <c r="D98" s="29" t="s">
        <v>2</v>
      </c>
      <c r="E98" s="98" t="s">
        <v>193</v>
      </c>
      <c r="F98" s="65">
        <v>77748</v>
      </c>
      <c r="G98" s="568">
        <v>35345</v>
      </c>
      <c r="H98" s="91">
        <f t="shared" si="2"/>
        <v>2.1996887820059414</v>
      </c>
      <c r="I98" s="92">
        <v>858.4</v>
      </c>
      <c r="J98" s="92">
        <v>90.6</v>
      </c>
      <c r="K98" s="109">
        <v>635</v>
      </c>
      <c r="L98" s="110"/>
      <c r="M98" s="111">
        <v>34014</v>
      </c>
      <c r="N98" s="111">
        <v>34014</v>
      </c>
      <c r="O98" s="111">
        <v>0</v>
      </c>
      <c r="P98" s="111">
        <v>0</v>
      </c>
      <c r="Q98" s="111">
        <v>35345</v>
      </c>
      <c r="R98" s="111">
        <v>35345</v>
      </c>
    </row>
    <row r="99" spans="1:18" x14ac:dyDescent="0.2">
      <c r="A99" s="8">
        <v>16490</v>
      </c>
      <c r="B99" s="8" t="s">
        <v>146</v>
      </c>
      <c r="C99" s="8" t="s">
        <v>67</v>
      </c>
      <c r="D99" s="29" t="s">
        <v>1</v>
      </c>
      <c r="E99" s="98" t="s">
        <v>67</v>
      </c>
      <c r="F99" s="65">
        <v>65369</v>
      </c>
      <c r="G99" s="568">
        <v>28040</v>
      </c>
      <c r="H99" s="91">
        <f t="shared" si="2"/>
        <v>2.3312767475035665</v>
      </c>
      <c r="I99" s="92">
        <v>5319</v>
      </c>
      <c r="J99" s="92">
        <v>12.3</v>
      </c>
      <c r="K99" s="109">
        <v>328</v>
      </c>
      <c r="L99" s="110"/>
      <c r="M99" s="111">
        <v>21934</v>
      </c>
      <c r="N99" s="111">
        <v>18989</v>
      </c>
      <c r="O99" s="111">
        <v>0</v>
      </c>
      <c r="P99" s="111">
        <v>17224</v>
      </c>
      <c r="Q99" s="111">
        <v>28040</v>
      </c>
      <c r="R99" s="111">
        <v>28040</v>
      </c>
    </row>
    <row r="100" spans="1:18" x14ac:dyDescent="0.2">
      <c r="A100" s="8">
        <v>16550</v>
      </c>
      <c r="B100" s="8" t="s">
        <v>59</v>
      </c>
      <c r="C100" s="8" t="s">
        <v>17</v>
      </c>
      <c r="D100" s="29" t="s">
        <v>2</v>
      </c>
      <c r="E100" s="98"/>
      <c r="F100" s="65">
        <v>141840</v>
      </c>
      <c r="G100" s="568">
        <v>60012</v>
      </c>
      <c r="H100" s="91">
        <f t="shared" si="2"/>
        <v>2.3635272945410919</v>
      </c>
      <c r="I100" s="92">
        <v>36.299999999999997</v>
      </c>
      <c r="J100" s="92">
        <v>3904.1</v>
      </c>
      <c r="K100" s="109">
        <v>637.85</v>
      </c>
      <c r="L100" s="110"/>
      <c r="M100" s="111">
        <v>58522</v>
      </c>
      <c r="N100" s="111">
        <v>59880</v>
      </c>
      <c r="O100" s="111">
        <v>0</v>
      </c>
      <c r="P100" s="111">
        <v>59881</v>
      </c>
      <c r="Q100" s="111">
        <v>60012</v>
      </c>
      <c r="R100" s="111">
        <v>60012</v>
      </c>
    </row>
    <row r="101" spans="1:18" x14ac:dyDescent="0.2">
      <c r="A101" s="8">
        <v>16610</v>
      </c>
      <c r="B101" s="8" t="s">
        <v>147</v>
      </c>
      <c r="C101" s="8" t="s">
        <v>19</v>
      </c>
      <c r="D101" s="29" t="s">
        <v>3</v>
      </c>
      <c r="E101" s="98" t="s">
        <v>186</v>
      </c>
      <c r="F101" s="65">
        <v>23705</v>
      </c>
      <c r="G101" s="568">
        <v>10828</v>
      </c>
      <c r="H101" s="91">
        <f t="shared" ref="H101:H132" si="3">F101/G101</f>
        <v>2.1892316217214627</v>
      </c>
      <c r="I101" s="92">
        <v>3047.4</v>
      </c>
      <c r="J101" s="92">
        <v>7.8</v>
      </c>
      <c r="K101" s="109">
        <v>650</v>
      </c>
      <c r="L101" s="110"/>
      <c r="M101" s="111">
        <v>7700</v>
      </c>
      <c r="N101" s="111">
        <v>7884</v>
      </c>
      <c r="O101" s="111">
        <v>0</v>
      </c>
      <c r="P101" s="111">
        <v>7729</v>
      </c>
      <c r="Q101" s="111">
        <v>0</v>
      </c>
      <c r="R101" s="111">
        <v>10828</v>
      </c>
    </row>
    <row r="102" spans="1:18" x14ac:dyDescent="0.2">
      <c r="A102" s="8">
        <v>16700</v>
      </c>
      <c r="B102" s="8" t="s">
        <v>60</v>
      </c>
      <c r="C102" s="8" t="s">
        <v>24</v>
      </c>
      <c r="D102" s="29" t="s">
        <v>2</v>
      </c>
      <c r="E102" s="98"/>
      <c r="F102" s="65">
        <v>135716</v>
      </c>
      <c r="G102" s="568">
        <v>55382</v>
      </c>
      <c r="H102" s="91">
        <f t="shared" si="3"/>
        <v>2.4505434978874003</v>
      </c>
      <c r="I102" s="92">
        <v>40.5</v>
      </c>
      <c r="J102" s="92">
        <v>3353.1</v>
      </c>
      <c r="K102" s="109">
        <v>422</v>
      </c>
      <c r="L102" s="110"/>
      <c r="M102" s="111">
        <v>53045</v>
      </c>
      <c r="N102" s="111">
        <v>55387</v>
      </c>
      <c r="O102" s="111">
        <v>29086</v>
      </c>
      <c r="P102" s="111">
        <v>0</v>
      </c>
      <c r="Q102" s="111">
        <v>55382</v>
      </c>
      <c r="R102" s="111">
        <v>55382</v>
      </c>
    </row>
    <row r="103" spans="1:18" x14ac:dyDescent="0.2">
      <c r="A103" s="8">
        <v>16900</v>
      </c>
      <c r="B103" s="8" t="s">
        <v>148</v>
      </c>
      <c r="C103" s="8" t="s">
        <v>37</v>
      </c>
      <c r="D103" s="29" t="s">
        <v>2</v>
      </c>
      <c r="E103" s="98" t="s">
        <v>37</v>
      </c>
      <c r="F103" s="65">
        <v>79738</v>
      </c>
      <c r="G103" s="568">
        <v>29864</v>
      </c>
      <c r="H103" s="91">
        <f t="shared" si="3"/>
        <v>2.6700375033485133</v>
      </c>
      <c r="I103" s="92">
        <v>147.4</v>
      </c>
      <c r="J103" s="92">
        <v>540.9</v>
      </c>
      <c r="K103" s="109">
        <v>582</v>
      </c>
      <c r="L103" s="110"/>
      <c r="M103" s="111">
        <v>31111</v>
      </c>
      <c r="N103" s="111">
        <v>30243</v>
      </c>
      <c r="O103" s="111">
        <v>0</v>
      </c>
      <c r="P103" s="111">
        <v>28705</v>
      </c>
      <c r="Q103" s="111">
        <v>29864</v>
      </c>
      <c r="R103" s="111">
        <v>29864</v>
      </c>
    </row>
    <row r="104" spans="1:18" x14ac:dyDescent="0.2">
      <c r="A104" s="8">
        <v>16950</v>
      </c>
      <c r="B104" s="8" t="s">
        <v>149</v>
      </c>
      <c r="C104" s="8" t="s">
        <v>37</v>
      </c>
      <c r="D104" s="29" t="s">
        <v>2</v>
      </c>
      <c r="E104" s="98" t="s">
        <v>37</v>
      </c>
      <c r="F104" s="65">
        <v>109895</v>
      </c>
      <c r="G104" s="568">
        <v>59888</v>
      </c>
      <c r="H104" s="91">
        <f t="shared" si="3"/>
        <v>1.8350086828746994</v>
      </c>
      <c r="I104" s="92">
        <v>4567.2</v>
      </c>
      <c r="J104" s="92">
        <v>24.1</v>
      </c>
      <c r="K104" s="109">
        <v>441</v>
      </c>
      <c r="L104" s="110"/>
      <c r="M104" s="111">
        <v>54455</v>
      </c>
      <c r="N104" s="111">
        <v>56922</v>
      </c>
      <c r="O104" s="111">
        <v>0</v>
      </c>
      <c r="P104" s="111">
        <v>0</v>
      </c>
      <c r="Q104" s="111">
        <v>59888</v>
      </c>
      <c r="R104" s="111">
        <v>59888</v>
      </c>
    </row>
    <row r="105" spans="1:18" x14ac:dyDescent="0.2">
      <c r="A105" s="8">
        <v>17000</v>
      </c>
      <c r="B105" s="8" t="s">
        <v>150</v>
      </c>
      <c r="C105" s="8" t="s">
        <v>23</v>
      </c>
      <c r="D105" s="29" t="s">
        <v>3</v>
      </c>
      <c r="E105" s="98" t="s">
        <v>193</v>
      </c>
      <c r="F105" s="65">
        <v>25332</v>
      </c>
      <c r="G105" s="568">
        <v>11507</v>
      </c>
      <c r="H105" s="91">
        <f t="shared" si="3"/>
        <v>2.2014426001564265</v>
      </c>
      <c r="I105" s="92">
        <v>4892.7</v>
      </c>
      <c r="J105" s="92">
        <v>5.2</v>
      </c>
      <c r="K105" s="109">
        <v>550</v>
      </c>
      <c r="L105" s="110"/>
      <c r="M105" s="111">
        <v>9412</v>
      </c>
      <c r="N105" s="111">
        <v>8520</v>
      </c>
      <c r="O105" s="111">
        <v>8254</v>
      </c>
      <c r="P105" s="111">
        <v>0</v>
      </c>
      <c r="Q105" s="111">
        <v>11507</v>
      </c>
      <c r="R105" s="111">
        <v>11507</v>
      </c>
    </row>
    <row r="106" spans="1:18" x14ac:dyDescent="0.2">
      <c r="A106" s="8">
        <v>17040</v>
      </c>
      <c r="B106" s="8" t="s">
        <v>151</v>
      </c>
      <c r="C106" s="8" t="s">
        <v>67</v>
      </c>
      <c r="D106" s="29" t="s">
        <v>1</v>
      </c>
      <c r="E106" s="98" t="s">
        <v>67</v>
      </c>
      <c r="F106" s="65">
        <v>22132</v>
      </c>
      <c r="G106" s="568">
        <v>14261</v>
      </c>
      <c r="H106" s="91">
        <f t="shared" si="3"/>
        <v>1.5519248299558235</v>
      </c>
      <c r="I106" s="92">
        <v>15164.8</v>
      </c>
      <c r="J106" s="92">
        <v>1.5</v>
      </c>
      <c r="K106" s="109">
        <v>597.94000000000005</v>
      </c>
      <c r="L106" s="110"/>
      <c r="M106" s="111">
        <v>8082</v>
      </c>
      <c r="N106" s="111">
        <v>7755</v>
      </c>
      <c r="O106" s="111">
        <v>0</v>
      </c>
      <c r="P106" s="111">
        <v>2851</v>
      </c>
      <c r="Q106" s="111">
        <v>0</v>
      </c>
      <c r="R106" s="111">
        <v>14261</v>
      </c>
    </row>
    <row r="107" spans="1:18" x14ac:dyDescent="0.2">
      <c r="A107" s="8">
        <v>17080</v>
      </c>
      <c r="B107" s="8" t="s">
        <v>152</v>
      </c>
      <c r="C107" s="8" t="s">
        <v>67</v>
      </c>
      <c r="D107" s="29" t="s">
        <v>1</v>
      </c>
      <c r="E107" s="98" t="s">
        <v>67</v>
      </c>
      <c r="F107" s="65">
        <v>14935</v>
      </c>
      <c r="G107" s="568">
        <v>9309</v>
      </c>
      <c r="H107" s="91">
        <f t="shared" si="3"/>
        <v>1.604361370716511</v>
      </c>
      <c r="I107" s="92">
        <v>8958.9</v>
      </c>
      <c r="J107" s="92">
        <v>1.7</v>
      </c>
      <c r="K107" s="109">
        <v>490</v>
      </c>
      <c r="L107" s="110"/>
      <c r="M107" s="111">
        <v>5436</v>
      </c>
      <c r="N107" s="111">
        <v>5436</v>
      </c>
      <c r="O107" s="111">
        <v>0</v>
      </c>
      <c r="P107" s="111">
        <v>5436</v>
      </c>
      <c r="Q107" s="111">
        <v>0</v>
      </c>
      <c r="R107" s="111">
        <v>9309</v>
      </c>
    </row>
    <row r="108" spans="1:18" x14ac:dyDescent="0.2">
      <c r="A108" s="8">
        <v>17100</v>
      </c>
      <c r="B108" s="8" t="s">
        <v>153</v>
      </c>
      <c r="C108" s="8"/>
      <c r="D108" s="29" t="s">
        <v>2</v>
      </c>
      <c r="E108" s="98"/>
      <c r="F108" s="65">
        <v>47824</v>
      </c>
      <c r="G108" s="568">
        <v>20027</v>
      </c>
      <c r="H108" s="91">
        <f t="shared" si="3"/>
        <v>2.3879762320866829</v>
      </c>
      <c r="I108" s="92">
        <v>14</v>
      </c>
      <c r="J108" s="92">
        <v>3415.8</v>
      </c>
      <c r="K108" s="109">
        <v>760</v>
      </c>
      <c r="L108" s="110"/>
      <c r="M108" s="111">
        <v>22272</v>
      </c>
      <c r="N108" s="111">
        <v>21573</v>
      </c>
      <c r="O108" s="111">
        <v>5833</v>
      </c>
      <c r="P108" s="111">
        <v>0</v>
      </c>
      <c r="Q108" s="111">
        <v>20027</v>
      </c>
      <c r="R108" s="111">
        <v>20027</v>
      </c>
    </row>
    <row r="109" spans="1:18" x14ac:dyDescent="0.2">
      <c r="A109" s="8">
        <v>17150</v>
      </c>
      <c r="B109" s="8" t="s">
        <v>154</v>
      </c>
      <c r="C109" s="8" t="s">
        <v>17</v>
      </c>
      <c r="D109" s="29" t="s">
        <v>2</v>
      </c>
      <c r="E109" s="98"/>
      <c r="F109" s="65">
        <v>235029</v>
      </c>
      <c r="G109" s="568">
        <v>89473</v>
      </c>
      <c r="H109" s="91">
        <f t="shared" si="3"/>
        <v>2.6268147932895958</v>
      </c>
      <c r="I109" s="92">
        <v>333.6</v>
      </c>
      <c r="J109" s="92">
        <v>704.6</v>
      </c>
      <c r="K109" s="109">
        <v>456.3</v>
      </c>
      <c r="L109" s="110"/>
      <c r="M109" s="111">
        <v>86673</v>
      </c>
      <c r="N109" s="111">
        <v>86673</v>
      </c>
      <c r="O109" s="111">
        <v>56595</v>
      </c>
      <c r="P109" s="111">
        <v>0</v>
      </c>
      <c r="Q109" s="111">
        <v>89473</v>
      </c>
      <c r="R109" s="111">
        <v>89473</v>
      </c>
    </row>
    <row r="110" spans="1:18" x14ac:dyDescent="0.2">
      <c r="A110" s="8">
        <v>17200</v>
      </c>
      <c r="B110" s="8" t="s">
        <v>61</v>
      </c>
      <c r="C110" s="8" t="s">
        <v>17</v>
      </c>
      <c r="D110" s="29" t="s">
        <v>2</v>
      </c>
      <c r="E110" s="98"/>
      <c r="F110" s="65">
        <v>231086</v>
      </c>
      <c r="G110" s="568">
        <v>132291</v>
      </c>
      <c r="H110" s="91">
        <f t="shared" si="3"/>
        <v>1.7468006137983687</v>
      </c>
      <c r="I110" s="92">
        <v>26.7</v>
      </c>
      <c r="J110" s="92">
        <v>8662.6</v>
      </c>
      <c r="K110" s="109">
        <v>532</v>
      </c>
      <c r="L110" s="110"/>
      <c r="M110" s="111">
        <v>119139</v>
      </c>
      <c r="N110" s="111">
        <v>163547</v>
      </c>
      <c r="O110" s="111">
        <v>55754</v>
      </c>
      <c r="P110" s="111">
        <v>19625</v>
      </c>
      <c r="Q110" s="111">
        <v>132291</v>
      </c>
      <c r="R110" s="111">
        <v>132291</v>
      </c>
    </row>
    <row r="111" spans="1:18" x14ac:dyDescent="0.2">
      <c r="A111" s="8">
        <v>17310</v>
      </c>
      <c r="B111" s="8" t="s">
        <v>155</v>
      </c>
      <c r="C111" s="8" t="s">
        <v>16</v>
      </c>
      <c r="D111" s="29" t="s">
        <v>1</v>
      </c>
      <c r="E111" s="98" t="s">
        <v>194</v>
      </c>
      <c r="F111" s="65">
        <v>65246</v>
      </c>
      <c r="G111" s="568">
        <v>29072</v>
      </c>
      <c r="H111" s="91">
        <f t="shared" si="3"/>
        <v>2.2442900385250413</v>
      </c>
      <c r="I111" s="92">
        <v>9884.4</v>
      </c>
      <c r="J111" s="92">
        <v>6.6</v>
      </c>
      <c r="K111" s="109">
        <v>407</v>
      </c>
      <c r="L111" s="110"/>
      <c r="M111" s="111">
        <v>25119</v>
      </c>
      <c r="N111" s="111">
        <v>22029</v>
      </c>
      <c r="O111" s="111">
        <v>22029</v>
      </c>
      <c r="P111" s="111">
        <v>0</v>
      </c>
      <c r="Q111" s="111">
        <v>29072</v>
      </c>
      <c r="R111" s="111">
        <v>29072</v>
      </c>
    </row>
    <row r="112" spans="1:18" x14ac:dyDescent="0.2">
      <c r="A112" s="8">
        <v>17350</v>
      </c>
      <c r="B112" s="8" t="s">
        <v>156</v>
      </c>
      <c r="C112" s="8" t="s">
        <v>21</v>
      </c>
      <c r="D112" s="29" t="s">
        <v>1</v>
      </c>
      <c r="E112" s="98" t="s">
        <v>190</v>
      </c>
      <c r="F112" s="65">
        <v>6029</v>
      </c>
      <c r="G112" s="568">
        <v>3900</v>
      </c>
      <c r="H112" s="91">
        <f t="shared" si="3"/>
        <v>1.545897435897436</v>
      </c>
      <c r="I112" s="92">
        <v>2802</v>
      </c>
      <c r="J112" s="92">
        <v>2.2000000000000002</v>
      </c>
      <c r="K112" s="109">
        <v>296</v>
      </c>
      <c r="L112" s="110"/>
      <c r="M112" s="111">
        <v>2506</v>
      </c>
      <c r="N112" s="111">
        <v>0</v>
      </c>
      <c r="O112" s="111">
        <v>0</v>
      </c>
      <c r="P112" s="111">
        <v>0</v>
      </c>
      <c r="Q112" s="111">
        <v>3900</v>
      </c>
      <c r="R112" s="111">
        <v>3900</v>
      </c>
    </row>
    <row r="113" spans="1:18" x14ac:dyDescent="0.2">
      <c r="A113" s="8">
        <v>17400</v>
      </c>
      <c r="B113" s="8" t="s">
        <v>157</v>
      </c>
      <c r="C113" s="8" t="s">
        <v>16</v>
      </c>
      <c r="D113" s="29" t="s">
        <v>1</v>
      </c>
      <c r="E113" s="98" t="s">
        <v>185</v>
      </c>
      <c r="F113" s="65">
        <v>6973</v>
      </c>
      <c r="G113" s="568">
        <v>4938</v>
      </c>
      <c r="H113" s="91">
        <f t="shared" si="3"/>
        <v>1.4121101660591333</v>
      </c>
      <c r="I113" s="92">
        <v>7324.3</v>
      </c>
      <c r="J113" s="92">
        <v>1</v>
      </c>
      <c r="K113" s="109">
        <v>621</v>
      </c>
      <c r="L113" s="110"/>
      <c r="M113" s="111">
        <v>2333</v>
      </c>
      <c r="N113" s="111">
        <v>1742</v>
      </c>
      <c r="O113" s="111">
        <v>0</v>
      </c>
      <c r="P113" s="111">
        <v>0</v>
      </c>
      <c r="Q113" s="111">
        <v>0</v>
      </c>
      <c r="R113" s="111">
        <v>4938</v>
      </c>
    </row>
    <row r="114" spans="1:18" x14ac:dyDescent="0.2">
      <c r="A114" s="8">
        <v>17420</v>
      </c>
      <c r="B114" s="8" t="s">
        <v>158</v>
      </c>
      <c r="C114" s="8" t="s">
        <v>18</v>
      </c>
      <c r="D114" s="29" t="s">
        <v>2</v>
      </c>
      <c r="E114" s="98"/>
      <c r="F114" s="65">
        <v>207959</v>
      </c>
      <c r="G114" s="568">
        <v>73354</v>
      </c>
      <c r="H114" s="91">
        <f t="shared" si="3"/>
        <v>2.8350055893339148</v>
      </c>
      <c r="I114" s="92">
        <v>386.2</v>
      </c>
      <c r="J114" s="92">
        <v>538.5</v>
      </c>
      <c r="K114" s="109">
        <v>470</v>
      </c>
      <c r="L114" s="110"/>
      <c r="M114" s="111">
        <v>58651</v>
      </c>
      <c r="N114" s="111">
        <v>59921</v>
      </c>
      <c r="O114" s="111">
        <v>51175</v>
      </c>
      <c r="P114" s="111">
        <v>0</v>
      </c>
      <c r="Q114" s="111">
        <v>73354</v>
      </c>
      <c r="R114" s="111">
        <v>73354</v>
      </c>
    </row>
    <row r="115" spans="1:18" x14ac:dyDescent="0.2">
      <c r="A115" s="8">
        <v>17550</v>
      </c>
      <c r="B115" s="8" t="s">
        <v>159</v>
      </c>
      <c r="C115" s="8" t="s">
        <v>19</v>
      </c>
      <c r="D115" s="29" t="s">
        <v>3</v>
      </c>
      <c r="E115" s="98" t="s">
        <v>186</v>
      </c>
      <c r="F115" s="65">
        <v>98967</v>
      </c>
      <c r="G115" s="568">
        <v>49371</v>
      </c>
      <c r="H115" s="91">
        <f t="shared" si="3"/>
        <v>2.0045573312268337</v>
      </c>
      <c r="I115" s="92">
        <v>1307.8</v>
      </c>
      <c r="J115" s="92">
        <v>75.7</v>
      </c>
      <c r="K115" s="109">
        <v>478</v>
      </c>
      <c r="L115" s="110"/>
      <c r="M115" s="111">
        <v>200</v>
      </c>
      <c r="N115" s="111">
        <v>39200</v>
      </c>
      <c r="O115" s="111">
        <v>0</v>
      </c>
      <c r="P115" s="111">
        <v>26683</v>
      </c>
      <c r="Q115" s="111">
        <v>49371</v>
      </c>
      <c r="R115" s="111">
        <v>49371</v>
      </c>
    </row>
    <row r="116" spans="1:18" x14ac:dyDescent="0.2">
      <c r="A116" s="8">
        <v>17620</v>
      </c>
      <c r="B116" s="8" t="s">
        <v>160</v>
      </c>
      <c r="C116" s="8" t="s">
        <v>23</v>
      </c>
      <c r="D116" s="29" t="s">
        <v>3</v>
      </c>
      <c r="E116" s="98" t="s">
        <v>193</v>
      </c>
      <c r="F116" s="65">
        <v>14338</v>
      </c>
      <c r="G116" s="568">
        <v>6348</v>
      </c>
      <c r="H116" s="91">
        <f t="shared" si="3"/>
        <v>2.2586641461877757</v>
      </c>
      <c r="I116" s="92">
        <v>8096.1</v>
      </c>
      <c r="J116" s="92">
        <v>1.8</v>
      </c>
      <c r="K116" s="109">
        <v>714</v>
      </c>
      <c r="L116" s="110"/>
      <c r="M116" s="111">
        <v>5135</v>
      </c>
      <c r="N116" s="111">
        <v>4987</v>
      </c>
      <c r="O116" s="111">
        <v>0</v>
      </c>
      <c r="P116" s="111">
        <v>0</v>
      </c>
      <c r="Q116" s="111">
        <v>6348</v>
      </c>
      <c r="R116" s="111">
        <v>6348</v>
      </c>
    </row>
    <row r="117" spans="1:18" x14ac:dyDescent="0.2">
      <c r="A117" s="8">
        <v>17640</v>
      </c>
      <c r="B117" s="8" t="s">
        <v>161</v>
      </c>
      <c r="C117" s="8" t="s">
        <v>67</v>
      </c>
      <c r="D117" s="29" t="s">
        <v>1</v>
      </c>
      <c r="E117" s="98" t="s">
        <v>67</v>
      </c>
      <c r="F117" s="65">
        <v>8706</v>
      </c>
      <c r="G117" s="568">
        <v>6980</v>
      </c>
      <c r="H117" s="91">
        <f t="shared" si="3"/>
        <v>1.2472779369627507</v>
      </c>
      <c r="I117" s="92">
        <v>7127.4</v>
      </c>
      <c r="J117" s="92">
        <v>1.2</v>
      </c>
      <c r="K117" s="109">
        <v>556</v>
      </c>
      <c r="L117" s="110"/>
      <c r="M117" s="111">
        <v>2192</v>
      </c>
      <c r="N117" s="111">
        <v>2192</v>
      </c>
      <c r="O117" s="111">
        <v>2192</v>
      </c>
      <c r="P117" s="111">
        <v>0</v>
      </c>
      <c r="Q117" s="111">
        <v>0</v>
      </c>
      <c r="R117" s="111">
        <v>6980</v>
      </c>
    </row>
    <row r="118" spans="1:18" x14ac:dyDescent="0.2">
      <c r="A118" s="8">
        <v>17650</v>
      </c>
      <c r="B118" s="8" t="s">
        <v>162</v>
      </c>
      <c r="C118" s="8" t="s">
        <v>16</v>
      </c>
      <c r="D118" s="29" t="s">
        <v>1</v>
      </c>
      <c r="E118" s="98" t="s">
        <v>185</v>
      </c>
      <c r="F118" s="65">
        <v>6047</v>
      </c>
      <c r="G118" s="568">
        <v>3198</v>
      </c>
      <c r="H118" s="91">
        <f t="shared" si="3"/>
        <v>1.8908692933083178</v>
      </c>
      <c r="I118" s="92">
        <v>3226.5</v>
      </c>
      <c r="J118" s="92">
        <v>1.9</v>
      </c>
      <c r="K118" s="109">
        <v>414</v>
      </c>
      <c r="L118" s="110"/>
      <c r="M118" s="111">
        <v>2079</v>
      </c>
      <c r="N118" s="111">
        <v>1985</v>
      </c>
      <c r="O118" s="111">
        <v>146</v>
      </c>
      <c r="P118" s="111">
        <v>0</v>
      </c>
      <c r="Q118" s="111">
        <v>0</v>
      </c>
      <c r="R118" s="111">
        <v>3198</v>
      </c>
    </row>
    <row r="119" spans="1:18" x14ac:dyDescent="0.2">
      <c r="A119" s="8">
        <v>17750</v>
      </c>
      <c r="B119" s="8" t="s">
        <v>163</v>
      </c>
      <c r="C119" s="8" t="s">
        <v>21</v>
      </c>
      <c r="D119" s="29" t="s">
        <v>1</v>
      </c>
      <c r="E119" s="98"/>
      <c r="F119" s="65">
        <v>68716</v>
      </c>
      <c r="G119" s="568">
        <v>26202</v>
      </c>
      <c r="H119" s="91">
        <f t="shared" si="3"/>
        <v>2.6225478971070912</v>
      </c>
      <c r="I119" s="92">
        <v>4824.5</v>
      </c>
      <c r="J119" s="92">
        <v>14.2</v>
      </c>
      <c r="K119" s="109">
        <v>405</v>
      </c>
      <c r="L119" s="110"/>
      <c r="M119" s="111">
        <v>27526</v>
      </c>
      <c r="N119" s="111">
        <v>24724</v>
      </c>
      <c r="O119" s="111">
        <v>0</v>
      </c>
      <c r="P119" s="111">
        <v>26784</v>
      </c>
      <c r="Q119" s="111">
        <v>26202</v>
      </c>
      <c r="R119" s="111">
        <v>26202</v>
      </c>
    </row>
    <row r="120" spans="1:18" x14ac:dyDescent="0.2">
      <c r="A120" s="8">
        <v>17850</v>
      </c>
      <c r="B120" s="8" t="s">
        <v>164</v>
      </c>
      <c r="C120" s="8" t="s">
        <v>16</v>
      </c>
      <c r="D120" s="29" t="s">
        <v>1</v>
      </c>
      <c r="E120" s="98" t="s">
        <v>194</v>
      </c>
      <c r="F120" s="65">
        <v>2968</v>
      </c>
      <c r="G120" s="568">
        <v>1629</v>
      </c>
      <c r="H120" s="91">
        <f t="shared" si="3"/>
        <v>1.8219766728054021</v>
      </c>
      <c r="I120" s="92">
        <v>6261</v>
      </c>
      <c r="J120" s="92">
        <v>0.5</v>
      </c>
      <c r="K120" s="109">
        <v>695</v>
      </c>
      <c r="L120" s="110"/>
      <c r="M120" s="111">
        <v>781</v>
      </c>
      <c r="N120" s="111">
        <v>763</v>
      </c>
      <c r="O120" s="111">
        <v>763</v>
      </c>
      <c r="P120" s="111">
        <v>0</v>
      </c>
      <c r="Q120" s="111">
        <v>0</v>
      </c>
      <c r="R120" s="111">
        <v>0</v>
      </c>
    </row>
    <row r="121" spans="1:18" x14ac:dyDescent="0.2">
      <c r="A121" s="8">
        <v>17900</v>
      </c>
      <c r="B121" s="8" t="s">
        <v>165</v>
      </c>
      <c r="C121" s="8" t="s">
        <v>38</v>
      </c>
      <c r="D121" s="29" t="s">
        <v>1</v>
      </c>
      <c r="E121" s="98" t="s">
        <v>192</v>
      </c>
      <c r="F121" s="65">
        <v>5519</v>
      </c>
      <c r="G121" s="568">
        <v>5753</v>
      </c>
      <c r="H121" s="91">
        <f t="shared" si="3"/>
        <v>0.95932556926820789</v>
      </c>
      <c r="I121" s="92">
        <v>22308.3</v>
      </c>
      <c r="J121" s="92">
        <v>0.2</v>
      </c>
      <c r="K121" s="109">
        <v>551</v>
      </c>
      <c r="L121" s="110"/>
      <c r="M121" s="111">
        <v>1533</v>
      </c>
      <c r="N121" s="111">
        <v>0</v>
      </c>
      <c r="O121" s="111">
        <v>0</v>
      </c>
      <c r="P121" s="111">
        <v>0</v>
      </c>
      <c r="Q121" s="111">
        <v>0</v>
      </c>
      <c r="R121" s="111">
        <v>5753</v>
      </c>
    </row>
    <row r="122" spans="1:18" x14ac:dyDescent="0.2">
      <c r="A122" s="8">
        <v>17950</v>
      </c>
      <c r="B122" s="8" t="s">
        <v>166</v>
      </c>
      <c r="C122" s="8" t="s">
        <v>38</v>
      </c>
      <c r="D122" s="29" t="s">
        <v>1</v>
      </c>
      <c r="E122" s="98" t="s">
        <v>191</v>
      </c>
      <c r="F122" s="65">
        <v>2583</v>
      </c>
      <c r="G122" s="568">
        <v>2058</v>
      </c>
      <c r="H122" s="91">
        <f t="shared" si="3"/>
        <v>1.2551020408163265</v>
      </c>
      <c r="I122" s="92">
        <v>10753.8</v>
      </c>
      <c r="J122" s="92">
        <v>0.2</v>
      </c>
      <c r="K122" s="109">
        <v>0</v>
      </c>
      <c r="L122" s="110"/>
      <c r="M122" s="111">
        <v>950</v>
      </c>
      <c r="N122" s="111">
        <v>0</v>
      </c>
      <c r="O122" s="111">
        <v>0</v>
      </c>
      <c r="P122" s="111">
        <v>0</v>
      </c>
      <c r="Q122" s="111">
        <v>2058</v>
      </c>
      <c r="R122" s="111">
        <v>2058</v>
      </c>
    </row>
    <row r="123" spans="1:18" x14ac:dyDescent="0.2">
      <c r="A123" s="8">
        <v>18020</v>
      </c>
      <c r="B123" s="8" t="s">
        <v>167</v>
      </c>
      <c r="C123" s="8" t="s">
        <v>38</v>
      </c>
      <c r="D123" s="29" t="s">
        <v>1</v>
      </c>
      <c r="E123" s="98" t="s">
        <v>191</v>
      </c>
      <c r="F123" s="65">
        <v>9228</v>
      </c>
      <c r="G123" s="568">
        <v>6063</v>
      </c>
      <c r="H123" s="91">
        <f t="shared" si="3"/>
        <v>1.5220188025729837</v>
      </c>
      <c r="I123" s="92">
        <v>12372.1</v>
      </c>
      <c r="J123" s="92">
        <v>0.7</v>
      </c>
      <c r="K123" s="109">
        <v>407</v>
      </c>
      <c r="L123" s="110"/>
      <c r="M123" s="111">
        <v>3048</v>
      </c>
      <c r="N123" s="111">
        <v>3048</v>
      </c>
      <c r="O123" s="111">
        <v>0</v>
      </c>
      <c r="P123" s="111">
        <v>0</v>
      </c>
      <c r="Q123" s="111">
        <v>0</v>
      </c>
      <c r="R123" s="111">
        <v>0</v>
      </c>
    </row>
    <row r="124" spans="1:18" x14ac:dyDescent="0.2">
      <c r="A124" s="8">
        <v>18050</v>
      </c>
      <c r="B124" s="8" t="s">
        <v>62</v>
      </c>
      <c r="C124" s="8" t="s">
        <v>17</v>
      </c>
      <c r="D124" s="29" t="s">
        <v>2</v>
      </c>
      <c r="E124" s="98"/>
      <c r="F124" s="65">
        <v>71414</v>
      </c>
      <c r="G124" s="568">
        <v>29835</v>
      </c>
      <c r="H124" s="91">
        <f t="shared" si="3"/>
        <v>2.3936316406904643</v>
      </c>
      <c r="I124" s="92">
        <v>9.4</v>
      </c>
      <c r="J124" s="92">
        <v>7637.4</v>
      </c>
      <c r="K124" s="109">
        <v>594.4</v>
      </c>
      <c r="L124" s="110"/>
      <c r="M124" s="111">
        <v>29829</v>
      </c>
      <c r="N124" s="111">
        <v>40270</v>
      </c>
      <c r="O124" s="111">
        <v>29829</v>
      </c>
      <c r="P124" s="111">
        <v>0</v>
      </c>
      <c r="Q124" s="111">
        <v>29835</v>
      </c>
      <c r="R124" s="111">
        <v>29835</v>
      </c>
    </row>
    <row r="125" spans="1:18" x14ac:dyDescent="0.2">
      <c r="A125" s="8">
        <v>18100</v>
      </c>
      <c r="B125" s="8" t="s">
        <v>168</v>
      </c>
      <c r="C125" s="8" t="s">
        <v>38</v>
      </c>
      <c r="D125" s="29" t="s">
        <v>1</v>
      </c>
      <c r="E125" s="98" t="s">
        <v>188</v>
      </c>
      <c r="F125" s="65">
        <v>3616</v>
      </c>
      <c r="G125" s="568">
        <v>2612</v>
      </c>
      <c r="H125" s="91">
        <f t="shared" si="3"/>
        <v>1.3843797856049005</v>
      </c>
      <c r="I125" s="92">
        <v>3414.9</v>
      </c>
      <c r="J125" s="92">
        <v>1.1000000000000001</v>
      </c>
      <c r="K125" s="109">
        <v>375</v>
      </c>
      <c r="L125" s="110"/>
      <c r="M125" s="111">
        <v>1266</v>
      </c>
      <c r="N125" s="111">
        <v>1099</v>
      </c>
      <c r="O125" s="111">
        <v>0</v>
      </c>
      <c r="P125" s="111">
        <v>0</v>
      </c>
      <c r="Q125" s="111">
        <v>0</v>
      </c>
      <c r="R125" s="111">
        <v>2612</v>
      </c>
    </row>
    <row r="126" spans="1:18" x14ac:dyDescent="0.2">
      <c r="A126" s="8">
        <v>18200</v>
      </c>
      <c r="B126" s="8" t="s">
        <v>169</v>
      </c>
      <c r="C126" s="8" t="s">
        <v>66</v>
      </c>
      <c r="D126" s="29" t="s">
        <v>1</v>
      </c>
      <c r="E126" s="98" t="s">
        <v>187</v>
      </c>
      <c r="F126" s="65">
        <v>7688</v>
      </c>
      <c r="G126" s="568">
        <v>4097</v>
      </c>
      <c r="H126" s="91">
        <f t="shared" si="3"/>
        <v>1.8764949963387845</v>
      </c>
      <c r="I126" s="92">
        <v>26255.9</v>
      </c>
      <c r="J126" s="92">
        <v>0.3</v>
      </c>
      <c r="K126" s="109">
        <v>281</v>
      </c>
      <c r="L126" s="110"/>
      <c r="M126" s="111">
        <v>122</v>
      </c>
      <c r="N126" s="111">
        <v>0</v>
      </c>
      <c r="O126" s="111">
        <v>0</v>
      </c>
      <c r="P126" s="111">
        <v>0</v>
      </c>
      <c r="Q126" s="111">
        <v>0</v>
      </c>
      <c r="R126" s="111">
        <v>4097</v>
      </c>
    </row>
    <row r="127" spans="1:18" x14ac:dyDescent="0.2">
      <c r="A127" s="8">
        <v>18250</v>
      </c>
      <c r="B127" s="8" t="s">
        <v>63</v>
      </c>
      <c r="C127" s="8" t="s">
        <v>24</v>
      </c>
      <c r="D127" s="29" t="s">
        <v>2</v>
      </c>
      <c r="E127" s="98"/>
      <c r="F127" s="65">
        <v>77874</v>
      </c>
      <c r="G127" s="568">
        <v>30797</v>
      </c>
      <c r="H127" s="91">
        <f t="shared" si="3"/>
        <v>2.5286229178166706</v>
      </c>
      <c r="I127" s="92">
        <v>22.4</v>
      </c>
      <c r="J127" s="92">
        <v>3472.5</v>
      </c>
      <c r="K127" s="109">
        <v>561.5</v>
      </c>
      <c r="L127" s="110"/>
      <c r="M127" s="111">
        <v>18259</v>
      </c>
      <c r="N127" s="111">
        <v>18716</v>
      </c>
      <c r="O127" s="111">
        <v>16752</v>
      </c>
      <c r="P127" s="111">
        <v>0</v>
      </c>
      <c r="Q127" s="111">
        <v>30797</v>
      </c>
      <c r="R127" s="111">
        <v>30797</v>
      </c>
    </row>
    <row r="128" spans="1:18" x14ac:dyDescent="0.2">
      <c r="A128" s="8">
        <v>18350</v>
      </c>
      <c r="B128" s="8" t="s">
        <v>64</v>
      </c>
      <c r="C128" s="8" t="s">
        <v>67</v>
      </c>
      <c r="D128" s="29" t="s">
        <v>2</v>
      </c>
      <c r="E128" s="98" t="s">
        <v>67</v>
      </c>
      <c r="F128" s="65">
        <v>53109</v>
      </c>
      <c r="G128" s="568">
        <v>21704</v>
      </c>
      <c r="H128" s="91">
        <f t="shared" si="3"/>
        <v>2.446968300774051</v>
      </c>
      <c r="I128" s="92">
        <v>2689.3</v>
      </c>
      <c r="J128" s="92">
        <v>19.7</v>
      </c>
      <c r="K128" s="109">
        <v>510.9</v>
      </c>
      <c r="L128" s="110"/>
      <c r="M128" s="111">
        <v>20531</v>
      </c>
      <c r="N128" s="111">
        <v>20531</v>
      </c>
      <c r="O128" s="111">
        <v>20664</v>
      </c>
      <c r="P128" s="111">
        <v>0</v>
      </c>
      <c r="Q128" s="111">
        <v>21704</v>
      </c>
      <c r="R128" s="111">
        <v>21704</v>
      </c>
    </row>
    <row r="129" spans="1:18" x14ac:dyDescent="0.2">
      <c r="A129" s="8">
        <v>18400</v>
      </c>
      <c r="B129" s="8" t="s">
        <v>170</v>
      </c>
      <c r="C129" s="8" t="s">
        <v>182</v>
      </c>
      <c r="D129" s="29" t="s">
        <v>3</v>
      </c>
      <c r="E129" s="98"/>
      <c r="F129" s="65">
        <v>57616</v>
      </c>
      <c r="G129" s="568">
        <v>22243</v>
      </c>
      <c r="H129" s="91">
        <f t="shared" si="3"/>
        <v>2.5902980713033315</v>
      </c>
      <c r="I129" s="92">
        <v>2555.4</v>
      </c>
      <c r="J129" s="92">
        <v>22.5</v>
      </c>
      <c r="K129" s="109">
        <v>586.1</v>
      </c>
      <c r="L129" s="110"/>
      <c r="M129" s="111">
        <v>18964</v>
      </c>
      <c r="N129" s="111">
        <v>18796</v>
      </c>
      <c r="O129" s="111">
        <v>13204</v>
      </c>
      <c r="P129" s="111">
        <v>0</v>
      </c>
      <c r="Q129" s="111">
        <v>22243</v>
      </c>
      <c r="R129" s="111">
        <v>22243</v>
      </c>
    </row>
    <row r="130" spans="1:18" x14ac:dyDescent="0.2">
      <c r="A130" s="8">
        <v>18450</v>
      </c>
      <c r="B130" s="8" t="s">
        <v>171</v>
      </c>
      <c r="C130" s="8" t="s">
        <v>37</v>
      </c>
      <c r="D130" s="29" t="s">
        <v>2</v>
      </c>
      <c r="E130" s="98" t="s">
        <v>37</v>
      </c>
      <c r="F130" s="65">
        <v>219141</v>
      </c>
      <c r="G130" s="568">
        <v>107274</v>
      </c>
      <c r="H130" s="91">
        <f t="shared" si="3"/>
        <v>2.042815593713295</v>
      </c>
      <c r="I130" s="92">
        <v>684.3</v>
      </c>
      <c r="J130" s="92">
        <v>320.2</v>
      </c>
      <c r="K130" s="109">
        <v>446.5</v>
      </c>
      <c r="L130" s="110"/>
      <c r="M130" s="111">
        <v>87152</v>
      </c>
      <c r="N130" s="111">
        <v>87152</v>
      </c>
      <c r="O130" s="111">
        <v>0</v>
      </c>
      <c r="P130" s="111">
        <v>87152</v>
      </c>
      <c r="Q130" s="111">
        <v>107274</v>
      </c>
      <c r="R130" s="111">
        <v>107274</v>
      </c>
    </row>
    <row r="131" spans="1:18" x14ac:dyDescent="0.2">
      <c r="A131" s="8">
        <v>18500</v>
      </c>
      <c r="B131" s="8" t="s">
        <v>65</v>
      </c>
      <c r="C131" s="8" t="s">
        <v>17</v>
      </c>
      <c r="D131" s="29" t="s">
        <v>2</v>
      </c>
      <c r="E131" s="98"/>
      <c r="F131" s="65">
        <v>54660</v>
      </c>
      <c r="G131" s="568">
        <v>25863</v>
      </c>
      <c r="H131" s="91">
        <f t="shared" si="3"/>
        <v>2.1134439160190235</v>
      </c>
      <c r="I131" s="92">
        <v>12.3</v>
      </c>
      <c r="J131" s="92">
        <v>4459</v>
      </c>
      <c r="K131" s="109">
        <v>609.20000000000005</v>
      </c>
      <c r="L131" s="110"/>
      <c r="M131" s="111">
        <v>23519</v>
      </c>
      <c r="N131" s="111" t="s">
        <v>419</v>
      </c>
      <c r="O131" s="111">
        <v>0</v>
      </c>
      <c r="P131" s="111">
        <v>1000</v>
      </c>
      <c r="Q131" s="111">
        <v>25863</v>
      </c>
      <c r="R131" s="111">
        <v>25863</v>
      </c>
    </row>
    <row r="132" spans="1:18" ht="13.5" thickBot="1" x14ac:dyDescent="0.25">
      <c r="A132" s="8">
        <v>18710</v>
      </c>
      <c r="B132" s="8" t="s">
        <v>172</v>
      </c>
      <c r="C132" s="8" t="s">
        <v>67</v>
      </c>
      <c r="D132" s="29" t="s">
        <v>1</v>
      </c>
      <c r="E132" s="98" t="s">
        <v>67</v>
      </c>
      <c r="F132" s="65">
        <v>17477</v>
      </c>
      <c r="G132" s="568">
        <v>8239</v>
      </c>
      <c r="H132" s="91">
        <f t="shared" si="3"/>
        <v>2.1212525791965042</v>
      </c>
      <c r="I132" s="92">
        <v>3995</v>
      </c>
      <c r="J132" s="92">
        <v>4.4000000000000004</v>
      </c>
      <c r="K132" s="109">
        <v>500</v>
      </c>
      <c r="L132" s="110"/>
      <c r="M132" s="111">
        <v>4155</v>
      </c>
      <c r="N132" s="111">
        <v>4155</v>
      </c>
      <c r="O132" s="111">
        <v>0</v>
      </c>
      <c r="P132" s="111">
        <v>0</v>
      </c>
      <c r="Q132" s="111">
        <v>0</v>
      </c>
      <c r="R132" s="111">
        <v>8239</v>
      </c>
    </row>
    <row r="133" spans="1:18" s="67" customFormat="1" ht="15.75" customHeight="1" thickTop="1" x14ac:dyDescent="0.2">
      <c r="A133" s="66"/>
      <c r="B133" s="20"/>
      <c r="C133" s="11" t="s">
        <v>26</v>
      </c>
      <c r="D133" s="11"/>
      <c r="E133" s="66"/>
      <c r="F133" s="13">
        <f t="shared" ref="F133:N133" si="4">COUNTIF(F5:F132,"&gt;0")</f>
        <v>128</v>
      </c>
      <c r="G133" s="13">
        <f t="shared" si="4"/>
        <v>128</v>
      </c>
      <c r="H133" s="13">
        <f t="shared" si="4"/>
        <v>128</v>
      </c>
      <c r="I133" s="13">
        <f t="shared" si="4"/>
        <v>128</v>
      </c>
      <c r="J133" s="13">
        <f t="shared" si="4"/>
        <v>127</v>
      </c>
      <c r="K133" s="13">
        <f t="shared" si="4"/>
        <v>125</v>
      </c>
      <c r="L133" s="13">
        <f t="shared" si="4"/>
        <v>0</v>
      </c>
      <c r="M133" s="13">
        <f t="shared" si="4"/>
        <v>128</v>
      </c>
      <c r="N133" s="13">
        <f t="shared" si="4"/>
        <v>111</v>
      </c>
      <c r="O133" s="13">
        <f>COUNTIF(P5:P132,"&gt;0")</f>
        <v>45</v>
      </c>
      <c r="P133" s="13">
        <f>COUNTIF(O5:O132,"&gt;0")</f>
        <v>42</v>
      </c>
      <c r="Q133" s="13">
        <f t="shared" ref="Q133:R133" si="5">COUNTIF(Q5:Q132,"&gt;0")</f>
        <v>79</v>
      </c>
      <c r="R133" s="13">
        <f t="shared" si="5"/>
        <v>120</v>
      </c>
    </row>
    <row r="134" spans="1:18" s="68" customFormat="1" ht="15" customHeight="1" x14ac:dyDescent="0.2">
      <c r="B134" s="14"/>
      <c r="C134" s="8" t="s">
        <v>27</v>
      </c>
      <c r="D134" s="8"/>
      <c r="E134" s="69"/>
      <c r="F134" s="15">
        <f>SUM(F5:F132)</f>
        <v>8341272</v>
      </c>
      <c r="G134" s="15">
        <f>SUM(G5:G132)</f>
        <v>3512643</v>
      </c>
      <c r="H134" s="93">
        <f>F134/G134</f>
        <v>2.3746426835861203</v>
      </c>
      <c r="I134" s="15">
        <f t="shared" ref="I134:N134" si="6">SUM(I5:I132)</f>
        <v>707588.30000000063</v>
      </c>
      <c r="J134" s="15">
        <f t="shared" si="6"/>
        <v>99837.599999999991</v>
      </c>
      <c r="K134" s="15">
        <f t="shared" si="6"/>
        <v>59287.89</v>
      </c>
      <c r="L134" s="15">
        <f t="shared" si="6"/>
        <v>0</v>
      </c>
      <c r="M134" s="15">
        <f t="shared" si="6"/>
        <v>3033249</v>
      </c>
      <c r="N134" s="15">
        <f t="shared" si="6"/>
        <v>2947854</v>
      </c>
      <c r="O134" s="15">
        <f>SUM(P5:P132)</f>
        <v>753113</v>
      </c>
      <c r="P134" s="15">
        <f>SUM(O5:O132)</f>
        <v>1447520</v>
      </c>
      <c r="Q134" s="15">
        <f t="shared" ref="Q134:R134" si="7">SUM(Q5:Q132)</f>
        <v>3087425</v>
      </c>
      <c r="R134" s="15">
        <f t="shared" si="7"/>
        <v>3481380</v>
      </c>
    </row>
    <row r="135" spans="1:18" s="68" customFormat="1" ht="15" customHeight="1" x14ac:dyDescent="0.2">
      <c r="B135" s="14"/>
      <c r="C135" s="8" t="s">
        <v>28</v>
      </c>
      <c r="D135" s="8"/>
      <c r="E135" s="69"/>
      <c r="F135" s="10">
        <f t="shared" ref="F135:N135" si="8">MIN(F5:F132)</f>
        <v>1411</v>
      </c>
      <c r="G135" s="10">
        <f t="shared" si="8"/>
        <v>734</v>
      </c>
      <c r="H135" s="70">
        <f t="shared" si="8"/>
        <v>0.95932556926820789</v>
      </c>
      <c r="I135" s="10">
        <f t="shared" si="8"/>
        <v>5.7</v>
      </c>
      <c r="J135" s="10">
        <f t="shared" si="8"/>
        <v>0</v>
      </c>
      <c r="K135" s="10">
        <f t="shared" si="8"/>
        <v>0</v>
      </c>
      <c r="L135" s="10">
        <f t="shared" si="8"/>
        <v>0</v>
      </c>
      <c r="M135" s="10">
        <f t="shared" si="8"/>
        <v>122</v>
      </c>
      <c r="N135" s="10">
        <f t="shared" si="8"/>
        <v>0</v>
      </c>
      <c r="O135" s="10">
        <f>MIN(P5:P132)</f>
        <v>0</v>
      </c>
      <c r="P135" s="10">
        <f>MIN(O5:O132)</f>
        <v>0</v>
      </c>
      <c r="Q135" s="10">
        <f t="shared" ref="Q135:R135" si="9">MIN(Q5:Q132)</f>
        <v>0</v>
      </c>
      <c r="R135" s="10">
        <f t="shared" si="9"/>
        <v>0</v>
      </c>
    </row>
    <row r="136" spans="1:18" s="68" customFormat="1" ht="15" customHeight="1" x14ac:dyDescent="0.2">
      <c r="B136" s="14"/>
      <c r="C136" s="8" t="s">
        <v>29</v>
      </c>
      <c r="D136" s="8"/>
      <c r="E136" s="69"/>
      <c r="F136" s="10">
        <f t="shared" ref="F136:N136" si="10">MAX(F5:F132)</f>
        <v>426202</v>
      </c>
      <c r="G136" s="10">
        <f t="shared" si="10"/>
        <v>155045</v>
      </c>
      <c r="H136" s="70">
        <f t="shared" si="10"/>
        <v>3.334778767076735</v>
      </c>
      <c r="I136" s="10">
        <f t="shared" si="10"/>
        <v>53492.2</v>
      </c>
      <c r="J136" s="10">
        <f t="shared" si="10"/>
        <v>8662.6</v>
      </c>
      <c r="K136" s="10">
        <f t="shared" si="10"/>
        <v>802</v>
      </c>
      <c r="L136" s="10">
        <f t="shared" si="10"/>
        <v>0</v>
      </c>
      <c r="M136" s="10">
        <f t="shared" si="10"/>
        <v>135954</v>
      </c>
      <c r="N136" s="10">
        <f t="shared" si="10"/>
        <v>163547</v>
      </c>
      <c r="O136" s="10">
        <f>MAX(P5:P132)</f>
        <v>87152</v>
      </c>
      <c r="P136" s="10">
        <f>MAX(O5:O132)</f>
        <v>134954</v>
      </c>
      <c r="Q136" s="10">
        <f t="shared" ref="Q136:R136" si="11">MAX(Q5:Q132)</f>
        <v>155045</v>
      </c>
      <c r="R136" s="10">
        <f t="shared" si="11"/>
        <v>155045</v>
      </c>
    </row>
    <row r="137" spans="1:18" s="68" customFormat="1" ht="15" customHeight="1" x14ac:dyDescent="0.2">
      <c r="B137" s="14"/>
      <c r="C137" s="8" t="s">
        <v>30</v>
      </c>
      <c r="D137" s="8"/>
      <c r="E137" s="69"/>
      <c r="F137" s="10">
        <f t="shared" ref="F137:N137" si="12">AVERAGE(F5:F132)</f>
        <v>65166.1875</v>
      </c>
      <c r="G137" s="10">
        <f t="shared" si="12"/>
        <v>27442.5234375</v>
      </c>
      <c r="H137" s="70">
        <f t="shared" si="12"/>
        <v>2.0661388827525036</v>
      </c>
      <c r="I137" s="10">
        <f t="shared" si="12"/>
        <v>5528.0335937500049</v>
      </c>
      <c r="J137" s="10">
        <f t="shared" si="12"/>
        <v>779.98124999999993</v>
      </c>
      <c r="K137" s="10">
        <f t="shared" si="12"/>
        <v>463.186640625</v>
      </c>
      <c r="L137" s="10" t="e">
        <f t="shared" si="12"/>
        <v>#DIV/0!</v>
      </c>
      <c r="M137" s="10">
        <f t="shared" si="12"/>
        <v>23697.2578125</v>
      </c>
      <c r="N137" s="10">
        <f t="shared" si="12"/>
        <v>23211.448818897639</v>
      </c>
      <c r="O137" s="10">
        <f>AVERAGE(P5:P132)</f>
        <v>5883.6953125</v>
      </c>
      <c r="P137" s="10">
        <f>AVERAGE(O5:O132)</f>
        <v>11308.75</v>
      </c>
      <c r="Q137" s="10">
        <f t="shared" ref="Q137:R137" si="13">AVERAGE(Q5:Q132)</f>
        <v>24120.5078125</v>
      </c>
      <c r="R137" s="10">
        <f t="shared" si="13"/>
        <v>27198.28125</v>
      </c>
    </row>
    <row r="138" spans="1:18" s="68" customFormat="1" ht="15.75" customHeight="1" thickBot="1" x14ac:dyDescent="0.25">
      <c r="B138" s="17"/>
      <c r="C138" s="16" t="s">
        <v>31</v>
      </c>
      <c r="D138" s="16"/>
      <c r="E138" s="69"/>
      <c r="F138" s="18">
        <f t="shared" ref="F138:N138" si="14">MEDIAN(F5:F132)</f>
        <v>25626.5</v>
      </c>
      <c r="G138" s="18">
        <f t="shared" si="14"/>
        <v>12389.5</v>
      </c>
      <c r="H138" s="71">
        <f t="shared" si="14"/>
        <v>2.0877612572096433</v>
      </c>
      <c r="I138" s="18">
        <f t="shared" si="14"/>
        <v>3133.75</v>
      </c>
      <c r="J138" s="18">
        <f t="shared" si="14"/>
        <v>8.0500000000000007</v>
      </c>
      <c r="K138" s="18">
        <f t="shared" si="14"/>
        <v>465.5</v>
      </c>
      <c r="L138" s="18" t="e">
        <f t="shared" si="14"/>
        <v>#NUM!</v>
      </c>
      <c r="M138" s="18">
        <f t="shared" si="14"/>
        <v>8568.5</v>
      </c>
      <c r="N138" s="18">
        <f t="shared" si="14"/>
        <v>8520</v>
      </c>
      <c r="O138" s="18">
        <f>MEDIAN(P5:P132)</f>
        <v>0</v>
      </c>
      <c r="P138" s="18">
        <f>MEDIAN(O5:O132)</f>
        <v>0</v>
      </c>
      <c r="Q138" s="18">
        <f t="shared" ref="Q138:R138" si="15">MEDIAN(Q5:Q132)</f>
        <v>6353.5</v>
      </c>
      <c r="R138" s="18">
        <f t="shared" si="15"/>
        <v>12389.5</v>
      </c>
    </row>
    <row r="139" spans="1:18" ht="13.5" thickTop="1" x14ac:dyDescent="0.2">
      <c r="B139" s="42" t="s">
        <v>25</v>
      </c>
      <c r="F139" s="43"/>
      <c r="G139" s="43"/>
      <c r="H139" s="43"/>
      <c r="I139" s="43"/>
      <c r="J139" s="44"/>
      <c r="K139" s="44"/>
      <c r="L139" s="44"/>
      <c r="M139" s="563">
        <f>M134/$G$134</f>
        <v>0.86352327862524036</v>
      </c>
      <c r="N139" s="563">
        <f t="shared" ref="N139:P139" si="16">N134/$G$134</f>
        <v>0.83921252458618767</v>
      </c>
      <c r="O139" s="563">
        <f t="shared" si="16"/>
        <v>0.21440066639279881</v>
      </c>
      <c r="P139" s="563">
        <f t="shared" si="16"/>
        <v>0.41208856123437537</v>
      </c>
      <c r="Q139" s="563">
        <f>Q134/$G$134</f>
        <v>0.87894642296413272</v>
      </c>
      <c r="R139" s="43"/>
    </row>
    <row r="140" spans="1:18" x14ac:dyDescent="0.2">
      <c r="P140" s="638" t="s">
        <v>517</v>
      </c>
    </row>
    <row r="141" spans="1:18" x14ac:dyDescent="0.2">
      <c r="A141" s="73">
        <v>1</v>
      </c>
      <c r="B141" s="73">
        <v>2</v>
      </c>
      <c r="C141" s="73">
        <v>3</v>
      </c>
      <c r="D141" s="73">
        <v>4</v>
      </c>
      <c r="E141" s="73">
        <v>5</v>
      </c>
      <c r="F141" s="73">
        <v>6</v>
      </c>
      <c r="G141" s="73">
        <v>7</v>
      </c>
      <c r="H141" s="73">
        <v>8</v>
      </c>
      <c r="I141" s="73">
        <v>9</v>
      </c>
      <c r="J141" s="73">
        <v>10</v>
      </c>
      <c r="K141" s="73">
        <v>11</v>
      </c>
      <c r="L141" s="73">
        <v>12</v>
      </c>
      <c r="M141" s="73">
        <v>13</v>
      </c>
      <c r="N141" s="30">
        <v>14</v>
      </c>
      <c r="O141" s="30">
        <v>15</v>
      </c>
      <c r="P141" s="30">
        <v>16</v>
      </c>
      <c r="Q141" s="30">
        <v>17</v>
      </c>
      <c r="R141" s="30">
        <v>18</v>
      </c>
    </row>
    <row r="142" spans="1:18" x14ac:dyDescent="0.2">
      <c r="C142" s="24"/>
      <c r="D142" s="24"/>
    </row>
    <row r="143" spans="1:18" ht="15.75" x14ac:dyDescent="0.25">
      <c r="B143" s="74" t="s">
        <v>459</v>
      </c>
      <c r="C143" s="626" t="s">
        <v>453</v>
      </c>
      <c r="D143" s="75"/>
      <c r="E143" s="76"/>
      <c r="F143" s="46"/>
      <c r="G143" s="46"/>
      <c r="H143" s="46"/>
      <c r="I143" s="46"/>
      <c r="J143" s="46"/>
      <c r="K143" s="46"/>
    </row>
    <row r="144" spans="1:18" x14ac:dyDescent="0.2">
      <c r="A144" s="9">
        <v>10500</v>
      </c>
      <c r="B144" s="77" t="str">
        <f t="shared" ref="B144:B185" si="17">VLOOKUP($A144,$A$5:$K$132,2,FALSE)</f>
        <v>Bayside</v>
      </c>
      <c r="C144" s="9" t="str">
        <f t="shared" ref="C144:C185" si="18">VLOOKUP($A144,$A$5:$K$133,3,FALSE)</f>
        <v>SSROC</v>
      </c>
      <c r="D144" s="45" t="str">
        <f t="shared" ref="D144:D185" si="19">VLOOKUP($A144,$A$5:$K$133,4,FALSE)</f>
        <v>S</v>
      </c>
      <c r="E144" s="10">
        <f t="shared" ref="E144:E185" si="20">VLOOKUP($A144,$A$5:$R$132,5,FALSE)</f>
        <v>0</v>
      </c>
      <c r="F144" s="10">
        <f t="shared" ref="F144:F185" si="21">VLOOKUP($A144,$A$5:$R$132,6,FALSE)</f>
        <v>182987</v>
      </c>
      <c r="G144" s="10">
        <f t="shared" ref="G144:G185" si="22">VLOOKUP($A144,$A$5:$R$132,7,FALSE)</f>
        <v>67952</v>
      </c>
      <c r="H144" s="10">
        <f t="shared" ref="H144:H185" si="23">VLOOKUP($A144,$A$5:$R$132,8,FALSE)</f>
        <v>2.6928861549328937</v>
      </c>
      <c r="I144" s="10">
        <f t="shared" ref="I144:I185" si="24">VLOOKUP($A144,$A$5:$R$132,9,FALSE)</f>
        <v>50.6</v>
      </c>
      <c r="J144" s="10">
        <f t="shared" ref="J144:J185" si="25">VLOOKUP($A144,$A$5:$R$132,10,FALSE)</f>
        <v>3614.9</v>
      </c>
      <c r="K144" s="10">
        <f t="shared" ref="K144:K185" si="26">VLOOKUP($A144,$A$5:$R$132,11,FALSE)</f>
        <v>527.01</v>
      </c>
      <c r="L144" s="10">
        <f t="shared" ref="L144:L185" si="27">VLOOKUP($A144,$A$4:$R$132,12,FALSE)</f>
        <v>0</v>
      </c>
      <c r="M144" s="10">
        <f t="shared" ref="M144:M185" si="28">VLOOKUP($A144,$A$4:$R$132,13,FALSE)</f>
        <v>66656</v>
      </c>
      <c r="N144" s="10">
        <f t="shared" ref="N144:N185" si="29">VLOOKUP($A144,$A$4:$R$132,14,FALSE)</f>
        <v>64883</v>
      </c>
      <c r="O144" s="10">
        <f t="shared" ref="O144:O185" si="30">VLOOKUP($A144,$A$4:$R$132,15,FALSE)</f>
        <v>16163</v>
      </c>
      <c r="P144" s="10">
        <f t="shared" ref="P144:P185" si="31">VLOOKUP($A144,$A$4:$R$132,16,FALSE)</f>
        <v>0</v>
      </c>
      <c r="Q144" s="10">
        <f t="shared" ref="Q144:Q185" si="32">VLOOKUP($A144,$A$4:$R$132,17,FALSE)</f>
        <v>67952</v>
      </c>
      <c r="R144" s="10">
        <f t="shared" ref="R144:R185" si="33">VLOOKUP($A144,$A$4:$R$132,18,FALSE)</f>
        <v>67952</v>
      </c>
    </row>
    <row r="145" spans="1:18" x14ac:dyDescent="0.2">
      <c r="A145" s="8">
        <v>10750</v>
      </c>
      <c r="B145" s="77" t="str">
        <f t="shared" si="17"/>
        <v>Blacktown</v>
      </c>
      <c r="C145" s="9" t="str">
        <f t="shared" si="18"/>
        <v>WSROC</v>
      </c>
      <c r="D145" s="45" t="str">
        <f t="shared" si="19"/>
        <v>S</v>
      </c>
      <c r="E145" s="10">
        <f t="shared" si="20"/>
        <v>0</v>
      </c>
      <c r="F145" s="10">
        <f t="shared" si="21"/>
        <v>426202</v>
      </c>
      <c r="G145" s="10">
        <f t="shared" si="22"/>
        <v>155045</v>
      </c>
      <c r="H145" s="10">
        <f t="shared" si="23"/>
        <v>2.7488922570866521</v>
      </c>
      <c r="I145" s="10">
        <f t="shared" si="24"/>
        <v>238.8</v>
      </c>
      <c r="J145" s="10">
        <f t="shared" si="25"/>
        <v>1784.4</v>
      </c>
      <c r="K145" s="10">
        <f t="shared" si="26"/>
        <v>602</v>
      </c>
      <c r="L145" s="10">
        <f t="shared" si="27"/>
        <v>0</v>
      </c>
      <c r="M145" s="10">
        <f t="shared" si="28"/>
        <v>122725</v>
      </c>
      <c r="N145" s="10">
        <f t="shared" si="29"/>
        <v>122725</v>
      </c>
      <c r="O145" s="10">
        <f t="shared" si="30"/>
        <v>0</v>
      </c>
      <c r="P145" s="10">
        <f t="shared" si="31"/>
        <v>0</v>
      </c>
      <c r="Q145" s="10">
        <f t="shared" si="32"/>
        <v>155045</v>
      </c>
      <c r="R145" s="10">
        <f t="shared" si="33"/>
        <v>155045</v>
      </c>
    </row>
    <row r="146" spans="1:18" x14ac:dyDescent="0.2">
      <c r="A146" s="8">
        <v>11300</v>
      </c>
      <c r="B146" s="77" t="str">
        <f t="shared" si="17"/>
        <v>Burwood</v>
      </c>
      <c r="C146" s="9" t="str">
        <f t="shared" si="18"/>
        <v>SSROC</v>
      </c>
      <c r="D146" s="45" t="str">
        <f t="shared" si="19"/>
        <v>S</v>
      </c>
      <c r="E146" s="10">
        <f t="shared" si="20"/>
        <v>0</v>
      </c>
      <c r="F146" s="10">
        <f t="shared" si="21"/>
        <v>42498</v>
      </c>
      <c r="G146" s="10">
        <f t="shared" si="22"/>
        <v>14954</v>
      </c>
      <c r="H146" s="10">
        <f t="shared" si="23"/>
        <v>2.8419152066336766</v>
      </c>
      <c r="I146" s="10">
        <f t="shared" si="24"/>
        <v>7.1</v>
      </c>
      <c r="J146" s="10">
        <f t="shared" si="25"/>
        <v>5962</v>
      </c>
      <c r="K146" s="10">
        <f t="shared" si="26"/>
        <v>547.75</v>
      </c>
      <c r="L146" s="10">
        <f t="shared" si="27"/>
        <v>0</v>
      </c>
      <c r="M146" s="10">
        <f t="shared" si="28"/>
        <v>14871</v>
      </c>
      <c r="N146" s="10">
        <f t="shared" si="29"/>
        <v>14869</v>
      </c>
      <c r="O146" s="10">
        <f t="shared" si="30"/>
        <v>14209</v>
      </c>
      <c r="P146" s="10">
        <f t="shared" si="31"/>
        <v>660</v>
      </c>
      <c r="Q146" s="10">
        <f t="shared" si="32"/>
        <v>14954</v>
      </c>
      <c r="R146" s="10">
        <f t="shared" si="33"/>
        <v>14954</v>
      </c>
    </row>
    <row r="147" spans="1:18" x14ac:dyDescent="0.2">
      <c r="A147" s="8">
        <v>11450</v>
      </c>
      <c r="B147" s="77" t="str">
        <f t="shared" si="17"/>
        <v>Camden</v>
      </c>
      <c r="C147" s="9" t="str">
        <f t="shared" si="18"/>
        <v>MSWA</v>
      </c>
      <c r="D147" s="45" t="str">
        <f t="shared" si="19"/>
        <v>S</v>
      </c>
      <c r="E147" s="10">
        <f t="shared" si="20"/>
        <v>0</v>
      </c>
      <c r="F147" s="10">
        <f t="shared" si="21"/>
        <v>134811</v>
      </c>
      <c r="G147" s="10">
        <f t="shared" si="22"/>
        <v>44583</v>
      </c>
      <c r="H147" s="10">
        <f t="shared" si="23"/>
        <v>3.0238207388466454</v>
      </c>
      <c r="I147" s="10">
        <f t="shared" si="24"/>
        <v>201.5</v>
      </c>
      <c r="J147" s="10">
        <f t="shared" si="25"/>
        <v>668.9</v>
      </c>
      <c r="K147" s="10">
        <f t="shared" si="26"/>
        <v>384</v>
      </c>
      <c r="L147" s="10">
        <f t="shared" si="27"/>
        <v>0</v>
      </c>
      <c r="M147" s="10">
        <f t="shared" si="28"/>
        <v>40718</v>
      </c>
      <c r="N147" s="10">
        <f t="shared" si="29"/>
        <v>40131</v>
      </c>
      <c r="O147" s="10">
        <f t="shared" si="30"/>
        <v>37952</v>
      </c>
      <c r="P147" s="10">
        <f t="shared" si="31"/>
        <v>0</v>
      </c>
      <c r="Q147" s="10">
        <f t="shared" si="32"/>
        <v>44583</v>
      </c>
      <c r="R147" s="10">
        <f t="shared" si="33"/>
        <v>44583</v>
      </c>
    </row>
    <row r="148" spans="1:18" x14ac:dyDescent="0.2">
      <c r="A148" s="8">
        <v>11500</v>
      </c>
      <c r="B148" s="77" t="str">
        <f t="shared" si="17"/>
        <v>Campbelltown</v>
      </c>
      <c r="C148" s="9" t="str">
        <f t="shared" si="18"/>
        <v>MSWA</v>
      </c>
      <c r="D148" s="45" t="str">
        <f t="shared" si="19"/>
        <v>S</v>
      </c>
      <c r="E148" s="10">
        <f t="shared" si="20"/>
        <v>0</v>
      </c>
      <c r="F148" s="10">
        <f t="shared" si="21"/>
        <v>184784</v>
      </c>
      <c r="G148" s="10">
        <f t="shared" si="22"/>
        <v>62430</v>
      </c>
      <c r="H148" s="10">
        <f t="shared" si="23"/>
        <v>2.9598590421271824</v>
      </c>
      <c r="I148" s="10">
        <f t="shared" si="24"/>
        <v>311.39999999999998</v>
      </c>
      <c r="J148" s="10">
        <f t="shared" si="25"/>
        <v>593.4</v>
      </c>
      <c r="K148" s="10">
        <f t="shared" si="26"/>
        <v>417.76</v>
      </c>
      <c r="L148" s="10">
        <f t="shared" si="27"/>
        <v>0</v>
      </c>
      <c r="M148" s="10">
        <f t="shared" si="28"/>
        <v>60300</v>
      </c>
      <c r="N148" s="10">
        <f t="shared" si="29"/>
        <v>59910</v>
      </c>
      <c r="O148" s="10">
        <f t="shared" si="30"/>
        <v>57664</v>
      </c>
      <c r="P148" s="10">
        <f t="shared" si="31"/>
        <v>0</v>
      </c>
      <c r="Q148" s="10">
        <f t="shared" si="32"/>
        <v>62430</v>
      </c>
      <c r="R148" s="10">
        <f t="shared" si="33"/>
        <v>62430</v>
      </c>
    </row>
    <row r="149" spans="1:18" x14ac:dyDescent="0.2">
      <c r="A149" s="8">
        <v>11520</v>
      </c>
      <c r="B149" s="77" t="str">
        <f t="shared" si="17"/>
        <v>Canada Bay</v>
      </c>
      <c r="C149" s="9" t="str">
        <f t="shared" si="18"/>
        <v>SSROC</v>
      </c>
      <c r="D149" s="45" t="str">
        <f t="shared" si="19"/>
        <v>S</v>
      </c>
      <c r="E149" s="10">
        <f t="shared" si="20"/>
        <v>0</v>
      </c>
      <c r="F149" s="10">
        <f t="shared" si="21"/>
        <v>91385</v>
      </c>
      <c r="G149" s="10">
        <f t="shared" si="22"/>
        <v>38402</v>
      </c>
      <c r="H149" s="10">
        <f t="shared" si="23"/>
        <v>2.37969376594969</v>
      </c>
      <c r="I149" s="10">
        <f t="shared" si="24"/>
        <v>19.899999999999999</v>
      </c>
      <c r="J149" s="10">
        <f t="shared" si="25"/>
        <v>4586.7</v>
      </c>
      <c r="K149" s="10">
        <f t="shared" si="26"/>
        <v>430</v>
      </c>
      <c r="L149" s="10">
        <f t="shared" si="27"/>
        <v>0</v>
      </c>
      <c r="M149" s="10">
        <f t="shared" si="28"/>
        <v>38416</v>
      </c>
      <c r="N149" s="10">
        <f t="shared" si="29"/>
        <v>38617</v>
      </c>
      <c r="O149" s="10">
        <f t="shared" si="30"/>
        <v>38402</v>
      </c>
      <c r="P149" s="10">
        <f t="shared" si="31"/>
        <v>0</v>
      </c>
      <c r="Q149" s="10">
        <f t="shared" si="32"/>
        <v>38402</v>
      </c>
      <c r="R149" s="10">
        <f t="shared" si="33"/>
        <v>38402</v>
      </c>
    </row>
    <row r="150" spans="1:18" x14ac:dyDescent="0.2">
      <c r="A150" s="8">
        <v>11570</v>
      </c>
      <c r="B150" s="77" t="str">
        <f t="shared" si="17"/>
        <v>Canterbury-Bankstown</v>
      </c>
      <c r="C150" s="9" t="str">
        <f t="shared" si="18"/>
        <v>SSROC</v>
      </c>
      <c r="D150" s="45" t="str">
        <f t="shared" si="19"/>
        <v>S</v>
      </c>
      <c r="E150" s="10">
        <f t="shared" si="20"/>
        <v>0</v>
      </c>
      <c r="F150" s="10">
        <f t="shared" si="21"/>
        <v>379829</v>
      </c>
      <c r="G150" s="10">
        <f t="shared" si="22"/>
        <v>136316</v>
      </c>
      <c r="H150" s="10">
        <f t="shared" si="23"/>
        <v>2.7863860441914374</v>
      </c>
      <c r="I150" s="10">
        <f t="shared" si="24"/>
        <v>110.2</v>
      </c>
      <c r="J150" s="10">
        <f t="shared" si="25"/>
        <v>3445.6</v>
      </c>
      <c r="K150" s="10">
        <f t="shared" si="26"/>
        <v>585</v>
      </c>
      <c r="L150" s="10">
        <f t="shared" si="27"/>
        <v>0</v>
      </c>
      <c r="M150" s="10">
        <f t="shared" si="28"/>
        <v>135954</v>
      </c>
      <c r="N150" s="10">
        <f t="shared" si="29"/>
        <v>135954</v>
      </c>
      <c r="O150" s="10">
        <f t="shared" si="30"/>
        <v>134954</v>
      </c>
      <c r="P150" s="10">
        <f t="shared" si="31"/>
        <v>0</v>
      </c>
      <c r="Q150" s="10">
        <f t="shared" si="32"/>
        <v>136316</v>
      </c>
      <c r="R150" s="10">
        <f t="shared" si="33"/>
        <v>136316</v>
      </c>
    </row>
    <row r="151" spans="1:18" x14ac:dyDescent="0.2">
      <c r="A151" s="8">
        <v>12380</v>
      </c>
      <c r="B151" s="77" t="str">
        <f t="shared" si="17"/>
        <v>Cumberland</v>
      </c>
      <c r="C151" s="9" t="str">
        <f t="shared" si="18"/>
        <v>WSROC</v>
      </c>
      <c r="D151" s="45" t="str">
        <f t="shared" si="19"/>
        <v>S</v>
      </c>
      <c r="E151" s="10">
        <f t="shared" si="20"/>
        <v>0</v>
      </c>
      <c r="F151" s="10">
        <f t="shared" si="21"/>
        <v>245323</v>
      </c>
      <c r="G151" s="10">
        <f t="shared" si="22"/>
        <v>73565</v>
      </c>
      <c r="H151" s="10">
        <f t="shared" si="23"/>
        <v>3.334778767076735</v>
      </c>
      <c r="I151" s="10">
        <f t="shared" si="24"/>
        <v>72.7</v>
      </c>
      <c r="J151" s="10">
        <f t="shared" si="25"/>
        <v>3372.2</v>
      </c>
      <c r="K151" s="10">
        <f t="shared" si="26"/>
        <v>610</v>
      </c>
      <c r="L151" s="10">
        <f t="shared" si="27"/>
        <v>0</v>
      </c>
      <c r="M151" s="10">
        <f t="shared" si="28"/>
        <v>87607</v>
      </c>
      <c r="N151" s="10">
        <f t="shared" si="29"/>
        <v>32069</v>
      </c>
      <c r="O151" s="10">
        <f t="shared" si="30"/>
        <v>32147</v>
      </c>
      <c r="P151" s="10">
        <f t="shared" si="31"/>
        <v>0</v>
      </c>
      <c r="Q151" s="10">
        <f t="shared" si="32"/>
        <v>73565</v>
      </c>
      <c r="R151" s="10">
        <f t="shared" si="33"/>
        <v>73565</v>
      </c>
    </row>
    <row r="152" spans="1:18" x14ac:dyDescent="0.2">
      <c r="A152" s="8">
        <v>12850</v>
      </c>
      <c r="B152" s="77" t="str">
        <f t="shared" si="17"/>
        <v>Fairfield</v>
      </c>
      <c r="C152" s="9" t="str">
        <f t="shared" si="18"/>
        <v>WSROC</v>
      </c>
      <c r="D152" s="45" t="str">
        <f t="shared" si="19"/>
        <v>S</v>
      </c>
      <c r="E152" s="10">
        <f t="shared" si="20"/>
        <v>0</v>
      </c>
      <c r="F152" s="10">
        <f t="shared" si="21"/>
        <v>209742</v>
      </c>
      <c r="G152" s="10">
        <f t="shared" si="22"/>
        <v>68590</v>
      </c>
      <c r="H152" s="10">
        <f t="shared" si="23"/>
        <v>3.0579093162268554</v>
      </c>
      <c r="I152" s="10">
        <f t="shared" si="24"/>
        <v>101.5</v>
      </c>
      <c r="J152" s="10">
        <f t="shared" si="25"/>
        <v>2066.3000000000002</v>
      </c>
      <c r="K152" s="10">
        <f t="shared" si="26"/>
        <v>516.63</v>
      </c>
      <c r="L152" s="10">
        <f t="shared" si="27"/>
        <v>0</v>
      </c>
      <c r="M152" s="10">
        <f t="shared" si="28"/>
        <v>60395</v>
      </c>
      <c r="N152" s="10">
        <f t="shared" si="29"/>
        <v>60395</v>
      </c>
      <c r="O152" s="10">
        <f t="shared" si="30"/>
        <v>0</v>
      </c>
      <c r="P152" s="10">
        <f t="shared" si="31"/>
        <v>0</v>
      </c>
      <c r="Q152" s="10">
        <f t="shared" si="32"/>
        <v>68590</v>
      </c>
      <c r="R152" s="10">
        <f t="shared" si="33"/>
        <v>68590</v>
      </c>
    </row>
    <row r="153" spans="1:18" x14ac:dyDescent="0.2">
      <c r="A153" s="8">
        <v>12930</v>
      </c>
      <c r="B153" s="77" t="str">
        <f t="shared" si="17"/>
        <v>Georges River</v>
      </c>
      <c r="C153" s="9" t="str">
        <f t="shared" si="18"/>
        <v>SSROC</v>
      </c>
      <c r="D153" s="45" t="str">
        <f t="shared" si="19"/>
        <v>S</v>
      </c>
      <c r="E153" s="10">
        <f t="shared" si="20"/>
        <v>0</v>
      </c>
      <c r="F153" s="10">
        <f t="shared" si="21"/>
        <v>158051</v>
      </c>
      <c r="G153" s="10">
        <f t="shared" si="22"/>
        <v>60396</v>
      </c>
      <c r="H153" s="10">
        <f t="shared" si="23"/>
        <v>2.6169117160076825</v>
      </c>
      <c r="I153" s="10">
        <f t="shared" si="24"/>
        <v>38.299999999999997</v>
      </c>
      <c r="J153" s="10">
        <f t="shared" si="25"/>
        <v>4122.6000000000004</v>
      </c>
      <c r="K153" s="10">
        <f t="shared" si="26"/>
        <v>511</v>
      </c>
      <c r="L153" s="10">
        <f t="shared" si="27"/>
        <v>0</v>
      </c>
      <c r="M153" s="10">
        <f t="shared" si="28"/>
        <v>37176</v>
      </c>
      <c r="N153" s="10">
        <f t="shared" si="29"/>
        <v>45383</v>
      </c>
      <c r="O153" s="10">
        <f t="shared" si="30"/>
        <v>36463</v>
      </c>
      <c r="P153" s="10">
        <f t="shared" si="31"/>
        <v>0</v>
      </c>
      <c r="Q153" s="10">
        <f t="shared" si="32"/>
        <v>60396</v>
      </c>
      <c r="R153" s="10">
        <f t="shared" si="33"/>
        <v>60396</v>
      </c>
    </row>
    <row r="154" spans="1:18" x14ac:dyDescent="0.2">
      <c r="A154" s="8">
        <v>14000</v>
      </c>
      <c r="B154" s="77" t="str">
        <f t="shared" si="17"/>
        <v>Hornsby</v>
      </c>
      <c r="C154" s="9" t="str">
        <f t="shared" si="18"/>
        <v>NSROC</v>
      </c>
      <c r="D154" s="45" t="str">
        <f t="shared" si="19"/>
        <v>S</v>
      </c>
      <c r="E154" s="10">
        <f t="shared" si="20"/>
        <v>0</v>
      </c>
      <c r="F154" s="10">
        <f t="shared" si="21"/>
        <v>154072</v>
      </c>
      <c r="G154" s="10">
        <f t="shared" si="22"/>
        <v>53500</v>
      </c>
      <c r="H154" s="10">
        <f t="shared" si="23"/>
        <v>2.8798504672897196</v>
      </c>
      <c r="I154" s="10">
        <f t="shared" si="24"/>
        <v>455</v>
      </c>
      <c r="J154" s="10">
        <f t="shared" si="25"/>
        <v>338.6</v>
      </c>
      <c r="K154" s="10">
        <f t="shared" si="26"/>
        <v>636</v>
      </c>
      <c r="L154" s="10">
        <f t="shared" si="27"/>
        <v>0</v>
      </c>
      <c r="M154" s="10">
        <f t="shared" si="28"/>
        <v>53500</v>
      </c>
      <c r="N154" s="10">
        <f t="shared" si="29"/>
        <v>53500</v>
      </c>
      <c r="O154" s="10">
        <f t="shared" si="30"/>
        <v>53500</v>
      </c>
      <c r="P154" s="10">
        <f t="shared" si="31"/>
        <v>0</v>
      </c>
      <c r="Q154" s="10">
        <f t="shared" si="32"/>
        <v>53500</v>
      </c>
      <c r="R154" s="10">
        <f t="shared" si="33"/>
        <v>53500</v>
      </c>
    </row>
    <row r="155" spans="1:18" x14ac:dyDescent="0.2">
      <c r="A155" s="8">
        <v>14100</v>
      </c>
      <c r="B155" s="77" t="str">
        <f t="shared" si="17"/>
        <v>Hunters Hill</v>
      </c>
      <c r="C155" s="9" t="str">
        <f t="shared" si="18"/>
        <v>NSROC</v>
      </c>
      <c r="D155" s="45" t="str">
        <f t="shared" si="19"/>
        <v>S</v>
      </c>
      <c r="E155" s="10">
        <f t="shared" si="20"/>
        <v>0</v>
      </c>
      <c r="F155" s="10">
        <f t="shared" si="21"/>
        <v>14036</v>
      </c>
      <c r="G155" s="10">
        <f t="shared" si="22"/>
        <v>5776</v>
      </c>
      <c r="H155" s="10">
        <f t="shared" si="23"/>
        <v>2.4300554016620497</v>
      </c>
      <c r="I155" s="10">
        <f t="shared" si="24"/>
        <v>5.7</v>
      </c>
      <c r="J155" s="10">
        <f t="shared" si="25"/>
        <v>2455.1999999999998</v>
      </c>
      <c r="K155" s="10">
        <f t="shared" si="26"/>
        <v>410</v>
      </c>
      <c r="L155" s="10">
        <f t="shared" si="27"/>
        <v>0</v>
      </c>
      <c r="M155" s="10">
        <f t="shared" si="28"/>
        <v>5271</v>
      </c>
      <c r="N155" s="10">
        <f t="shared" si="29"/>
        <v>5275</v>
      </c>
      <c r="O155" s="10">
        <f t="shared" si="30"/>
        <v>5265</v>
      </c>
      <c r="P155" s="10">
        <f t="shared" si="31"/>
        <v>0</v>
      </c>
      <c r="Q155" s="10">
        <f t="shared" si="32"/>
        <v>5776</v>
      </c>
      <c r="R155" s="10">
        <f t="shared" si="33"/>
        <v>5776</v>
      </c>
    </row>
    <row r="156" spans="1:18" x14ac:dyDescent="0.2">
      <c r="A156" s="8">
        <v>14170</v>
      </c>
      <c r="B156" s="77" t="str">
        <f t="shared" si="17"/>
        <v>Inner West</v>
      </c>
      <c r="C156" s="9" t="str">
        <f t="shared" si="18"/>
        <v>SSROC</v>
      </c>
      <c r="D156" s="45" t="str">
        <f t="shared" si="19"/>
        <v>S</v>
      </c>
      <c r="E156" s="10">
        <f t="shared" si="20"/>
        <v>0</v>
      </c>
      <c r="F156" s="10">
        <f t="shared" si="21"/>
        <v>188325</v>
      </c>
      <c r="G156" s="10">
        <f t="shared" si="22"/>
        <v>88919</v>
      </c>
      <c r="H156" s="10">
        <f t="shared" si="23"/>
        <v>2.1179387982320987</v>
      </c>
      <c r="I156" s="10">
        <f t="shared" si="24"/>
        <v>35.200000000000003</v>
      </c>
      <c r="J156" s="10">
        <f t="shared" si="25"/>
        <v>5348.4</v>
      </c>
      <c r="K156" s="10">
        <f t="shared" si="26"/>
        <v>476</v>
      </c>
      <c r="L156" s="10">
        <f t="shared" si="27"/>
        <v>0</v>
      </c>
      <c r="M156" s="10">
        <f t="shared" si="28"/>
        <v>77794</v>
      </c>
      <c r="N156" s="10">
        <f t="shared" si="29"/>
        <v>79846</v>
      </c>
      <c r="O156" s="10">
        <f t="shared" si="30"/>
        <v>0</v>
      </c>
      <c r="P156" s="10">
        <f t="shared" si="31"/>
        <v>0</v>
      </c>
      <c r="Q156" s="10">
        <f t="shared" si="32"/>
        <v>88919</v>
      </c>
      <c r="R156" s="10">
        <f t="shared" si="33"/>
        <v>88919</v>
      </c>
    </row>
    <row r="157" spans="1:18" x14ac:dyDescent="0.2">
      <c r="A157" s="8">
        <v>14500</v>
      </c>
      <c r="B157" s="77" t="str">
        <f t="shared" si="17"/>
        <v>Ku-ring-gai</v>
      </c>
      <c r="C157" s="9" t="str">
        <f t="shared" si="18"/>
        <v>NSROC</v>
      </c>
      <c r="D157" s="45" t="str">
        <f t="shared" si="19"/>
        <v>S</v>
      </c>
      <c r="E157" s="10">
        <f t="shared" si="20"/>
        <v>0</v>
      </c>
      <c r="F157" s="10">
        <f t="shared" si="21"/>
        <v>126983</v>
      </c>
      <c r="G157" s="10">
        <f t="shared" si="22"/>
        <v>48275</v>
      </c>
      <c r="H157" s="10">
        <f t="shared" si="23"/>
        <v>2.6304091144484723</v>
      </c>
      <c r="I157" s="10">
        <f t="shared" si="24"/>
        <v>85.4</v>
      </c>
      <c r="J157" s="10">
        <f t="shared" si="25"/>
        <v>1486.8</v>
      </c>
      <c r="K157" s="10">
        <f t="shared" si="26"/>
        <v>487</v>
      </c>
      <c r="L157" s="10">
        <f t="shared" si="27"/>
        <v>0</v>
      </c>
      <c r="M157" s="10">
        <f t="shared" si="28"/>
        <v>45239</v>
      </c>
      <c r="N157" s="10">
        <f t="shared" si="29"/>
        <v>45658</v>
      </c>
      <c r="O157" s="10">
        <f t="shared" si="30"/>
        <v>35365</v>
      </c>
      <c r="P157" s="10">
        <f t="shared" si="31"/>
        <v>0</v>
      </c>
      <c r="Q157" s="10">
        <f t="shared" si="32"/>
        <v>48275</v>
      </c>
      <c r="R157" s="10">
        <f t="shared" si="33"/>
        <v>48275</v>
      </c>
    </row>
    <row r="158" spans="1:18" x14ac:dyDescent="0.2">
      <c r="A158" s="8">
        <v>14700</v>
      </c>
      <c r="B158" s="77" t="str">
        <f t="shared" si="17"/>
        <v>Lane Cove</v>
      </c>
      <c r="C158" s="9" t="str">
        <f t="shared" si="18"/>
        <v>NSROC</v>
      </c>
      <c r="D158" s="45" t="str">
        <f t="shared" si="19"/>
        <v>S</v>
      </c>
      <c r="E158" s="10">
        <f t="shared" si="20"/>
        <v>0</v>
      </c>
      <c r="F158" s="10">
        <f t="shared" si="21"/>
        <v>41549</v>
      </c>
      <c r="G158" s="10">
        <f t="shared" si="22"/>
        <v>18945</v>
      </c>
      <c r="H158" s="10">
        <f t="shared" si="23"/>
        <v>2.1931380311427819</v>
      </c>
      <c r="I158" s="10">
        <f t="shared" si="24"/>
        <v>10.5</v>
      </c>
      <c r="J158" s="10">
        <f t="shared" si="25"/>
        <v>3965</v>
      </c>
      <c r="K158" s="10">
        <f t="shared" si="26"/>
        <v>498</v>
      </c>
      <c r="L158" s="10">
        <f t="shared" si="27"/>
        <v>0</v>
      </c>
      <c r="M158" s="10">
        <f t="shared" si="28"/>
        <v>18807</v>
      </c>
      <c r="N158" s="10">
        <f t="shared" si="29"/>
        <v>18807</v>
      </c>
      <c r="O158" s="10">
        <f t="shared" si="30"/>
        <v>6804</v>
      </c>
      <c r="P158" s="10">
        <f t="shared" si="31"/>
        <v>0</v>
      </c>
      <c r="Q158" s="10">
        <f t="shared" si="32"/>
        <v>18945</v>
      </c>
      <c r="R158" s="10">
        <f t="shared" si="33"/>
        <v>18945</v>
      </c>
    </row>
    <row r="159" spans="1:18" x14ac:dyDescent="0.2">
      <c r="A159" s="8">
        <v>14900</v>
      </c>
      <c r="B159" s="77" t="str">
        <f t="shared" si="17"/>
        <v>Liverpool</v>
      </c>
      <c r="C159" s="9" t="str">
        <f t="shared" si="18"/>
        <v>WSROC</v>
      </c>
      <c r="D159" s="45" t="str">
        <f t="shared" si="19"/>
        <v>S</v>
      </c>
      <c r="E159" s="10">
        <f t="shared" si="20"/>
        <v>0</v>
      </c>
      <c r="F159" s="10">
        <f t="shared" si="21"/>
        <v>247672</v>
      </c>
      <c r="G159" s="10">
        <f t="shared" si="22"/>
        <v>77898</v>
      </c>
      <c r="H159" s="10">
        <f t="shared" si="23"/>
        <v>3.1794397802254228</v>
      </c>
      <c r="I159" s="10">
        <f t="shared" si="24"/>
        <v>305.7</v>
      </c>
      <c r="J159" s="10">
        <f t="shared" si="25"/>
        <v>810.1</v>
      </c>
      <c r="K159" s="10">
        <f t="shared" si="26"/>
        <v>570</v>
      </c>
      <c r="L159" s="10">
        <f t="shared" si="27"/>
        <v>0</v>
      </c>
      <c r="M159" s="10">
        <f t="shared" si="28"/>
        <v>77522</v>
      </c>
      <c r="N159" s="10">
        <f t="shared" si="29"/>
        <v>77522</v>
      </c>
      <c r="O159" s="10">
        <f t="shared" si="30"/>
        <v>56858</v>
      </c>
      <c r="P159" s="10">
        <f t="shared" si="31"/>
        <v>0</v>
      </c>
      <c r="Q159" s="10">
        <f t="shared" si="32"/>
        <v>77898</v>
      </c>
      <c r="R159" s="10">
        <f t="shared" si="33"/>
        <v>77898</v>
      </c>
    </row>
    <row r="160" spans="1:18" x14ac:dyDescent="0.2">
      <c r="A160" s="8">
        <v>15350</v>
      </c>
      <c r="B160" s="77" t="str">
        <f t="shared" si="17"/>
        <v>Mosman</v>
      </c>
      <c r="C160" s="9" t="str">
        <f t="shared" si="18"/>
        <v>NSROC</v>
      </c>
      <c r="D160" s="45" t="str">
        <f t="shared" si="19"/>
        <v>S</v>
      </c>
      <c r="E160" s="10">
        <f t="shared" si="20"/>
        <v>0</v>
      </c>
      <c r="F160" s="10">
        <f t="shared" si="21"/>
        <v>29071</v>
      </c>
      <c r="G160" s="10">
        <f t="shared" si="22"/>
        <v>13350</v>
      </c>
      <c r="H160" s="10">
        <f t="shared" si="23"/>
        <v>2.1776029962546817</v>
      </c>
      <c r="I160" s="10">
        <f t="shared" si="24"/>
        <v>8.6999999999999993</v>
      </c>
      <c r="J160" s="10">
        <f t="shared" si="25"/>
        <v>3360.7</v>
      </c>
      <c r="K160" s="10">
        <f t="shared" si="26"/>
        <v>649</v>
      </c>
      <c r="L160" s="10">
        <f t="shared" si="27"/>
        <v>0</v>
      </c>
      <c r="M160" s="10">
        <f t="shared" si="28"/>
        <v>13350</v>
      </c>
      <c r="N160" s="10">
        <f t="shared" si="29"/>
        <v>13350</v>
      </c>
      <c r="O160" s="10">
        <f t="shared" si="30"/>
        <v>13350</v>
      </c>
      <c r="P160" s="10">
        <f t="shared" si="31"/>
        <v>0</v>
      </c>
      <c r="Q160" s="10">
        <f t="shared" si="32"/>
        <v>13350</v>
      </c>
      <c r="R160" s="10">
        <f t="shared" si="33"/>
        <v>13350</v>
      </c>
    </row>
    <row r="161" spans="1:18" x14ac:dyDescent="0.2">
      <c r="A161" s="8">
        <v>15950</v>
      </c>
      <c r="B161" s="77" t="str">
        <f t="shared" si="17"/>
        <v>North Sydney</v>
      </c>
      <c r="C161" s="9" t="str">
        <f t="shared" si="18"/>
        <v>NSROC</v>
      </c>
      <c r="D161" s="45" t="str">
        <f t="shared" si="19"/>
        <v>S</v>
      </c>
      <c r="E161" s="10">
        <f t="shared" si="20"/>
        <v>0</v>
      </c>
      <c r="F161" s="10">
        <f t="shared" si="21"/>
        <v>72014</v>
      </c>
      <c r="G161" s="10">
        <f t="shared" si="22"/>
        <v>40857</v>
      </c>
      <c r="H161" s="10">
        <f t="shared" si="23"/>
        <v>1.762586582470568</v>
      </c>
      <c r="I161" s="10">
        <f t="shared" si="24"/>
        <v>10.5</v>
      </c>
      <c r="J161" s="10">
        <f t="shared" si="25"/>
        <v>6864.4</v>
      </c>
      <c r="K161" s="10">
        <f t="shared" si="26"/>
        <v>424</v>
      </c>
      <c r="L161" s="10">
        <f t="shared" si="27"/>
        <v>0</v>
      </c>
      <c r="M161" s="10">
        <f t="shared" si="28"/>
        <v>8193</v>
      </c>
      <c r="N161" s="10">
        <f t="shared" si="29"/>
        <v>6428</v>
      </c>
      <c r="O161" s="10">
        <f t="shared" si="30"/>
        <v>0</v>
      </c>
      <c r="P161" s="10">
        <f t="shared" si="31"/>
        <v>0</v>
      </c>
      <c r="Q161" s="10">
        <f t="shared" si="32"/>
        <v>40857</v>
      </c>
      <c r="R161" s="10">
        <f t="shared" si="33"/>
        <v>40857</v>
      </c>
    </row>
    <row r="162" spans="1:18" x14ac:dyDescent="0.2">
      <c r="A162" s="8">
        <v>15990</v>
      </c>
      <c r="B162" s="77" t="str">
        <f t="shared" si="17"/>
        <v>Northern Beaches</v>
      </c>
      <c r="C162" s="9">
        <f t="shared" si="18"/>
        <v>0</v>
      </c>
      <c r="D162" s="45" t="str">
        <f t="shared" si="19"/>
        <v>S</v>
      </c>
      <c r="E162" s="10">
        <f t="shared" si="20"/>
        <v>0</v>
      </c>
      <c r="F162" s="10">
        <f t="shared" si="21"/>
        <v>267921</v>
      </c>
      <c r="G162" s="10">
        <f t="shared" si="22"/>
        <v>117734</v>
      </c>
      <c r="H162" s="10">
        <f t="shared" si="23"/>
        <v>2.2756467970170045</v>
      </c>
      <c r="I162" s="10">
        <f t="shared" si="24"/>
        <v>254.2</v>
      </c>
      <c r="J162" s="10">
        <f t="shared" si="25"/>
        <v>1053.9000000000001</v>
      </c>
      <c r="K162" s="10">
        <f t="shared" si="26"/>
        <v>555</v>
      </c>
      <c r="L162" s="10">
        <f t="shared" si="27"/>
        <v>0</v>
      </c>
      <c r="M162" s="10">
        <f t="shared" si="28"/>
        <v>115536</v>
      </c>
      <c r="N162" s="10">
        <f t="shared" si="29"/>
        <v>115536</v>
      </c>
      <c r="O162" s="10">
        <f t="shared" si="30"/>
        <v>97053</v>
      </c>
      <c r="P162" s="10">
        <f t="shared" si="31"/>
        <v>0</v>
      </c>
      <c r="Q162" s="10">
        <f t="shared" si="32"/>
        <v>117734</v>
      </c>
      <c r="R162" s="10">
        <f t="shared" si="33"/>
        <v>117734</v>
      </c>
    </row>
    <row r="163" spans="1:18" x14ac:dyDescent="0.2">
      <c r="A163" s="8">
        <v>16260</v>
      </c>
      <c r="B163" s="77" t="str">
        <f t="shared" si="17"/>
        <v>Parramatta</v>
      </c>
      <c r="C163" s="9" t="str">
        <f t="shared" si="18"/>
        <v>WSROC</v>
      </c>
      <c r="D163" s="45" t="str">
        <f t="shared" si="19"/>
        <v>S</v>
      </c>
      <c r="E163" s="10">
        <f t="shared" si="20"/>
        <v>0</v>
      </c>
      <c r="F163" s="10">
        <f t="shared" si="21"/>
        <v>269145</v>
      </c>
      <c r="G163" s="10">
        <f t="shared" si="22"/>
        <v>107699</v>
      </c>
      <c r="H163" s="10">
        <f t="shared" si="23"/>
        <v>2.4990482734287225</v>
      </c>
      <c r="I163" s="10">
        <f t="shared" si="24"/>
        <v>83.8</v>
      </c>
      <c r="J163" s="10">
        <f t="shared" si="25"/>
        <v>3210.6</v>
      </c>
      <c r="K163" s="10">
        <f t="shared" si="26"/>
        <v>476.7</v>
      </c>
      <c r="L163" s="10">
        <f t="shared" si="27"/>
        <v>0</v>
      </c>
      <c r="M163" s="10">
        <f t="shared" si="28"/>
        <v>92400</v>
      </c>
      <c r="N163" s="10">
        <f t="shared" si="29"/>
        <v>47714</v>
      </c>
      <c r="O163" s="10">
        <f t="shared" si="30"/>
        <v>48719</v>
      </c>
      <c r="P163" s="10">
        <f t="shared" si="31"/>
        <v>0</v>
      </c>
      <c r="Q163" s="10">
        <f t="shared" si="32"/>
        <v>107699</v>
      </c>
      <c r="R163" s="10">
        <f t="shared" si="33"/>
        <v>107699</v>
      </c>
    </row>
    <row r="164" spans="1:18" x14ac:dyDescent="0.2">
      <c r="A164" s="8">
        <v>16350</v>
      </c>
      <c r="B164" s="77" t="str">
        <f t="shared" si="17"/>
        <v>Penrith</v>
      </c>
      <c r="C164" s="9" t="str">
        <f t="shared" si="18"/>
        <v>MSWA</v>
      </c>
      <c r="D164" s="45" t="str">
        <f t="shared" si="19"/>
        <v>S</v>
      </c>
      <c r="E164" s="10">
        <f t="shared" si="20"/>
        <v>0</v>
      </c>
      <c r="F164" s="10">
        <f t="shared" si="21"/>
        <v>224483</v>
      </c>
      <c r="G164" s="10">
        <f t="shared" si="22"/>
        <v>82564</v>
      </c>
      <c r="H164" s="10">
        <f t="shared" si="23"/>
        <v>2.7188968557724915</v>
      </c>
      <c r="I164" s="10">
        <f t="shared" si="24"/>
        <v>404.7</v>
      </c>
      <c r="J164" s="10">
        <f t="shared" si="25"/>
        <v>554.70000000000005</v>
      </c>
      <c r="K164" s="10">
        <f t="shared" si="26"/>
        <v>415</v>
      </c>
      <c r="L164" s="10">
        <f t="shared" si="27"/>
        <v>0</v>
      </c>
      <c r="M164" s="10">
        <f t="shared" si="28"/>
        <v>81267</v>
      </c>
      <c r="N164" s="10">
        <f t="shared" si="29"/>
        <v>81267</v>
      </c>
      <c r="O164" s="10">
        <f t="shared" si="30"/>
        <v>0</v>
      </c>
      <c r="P164" s="10">
        <f t="shared" si="31"/>
        <v>69582</v>
      </c>
      <c r="Q164" s="10">
        <f t="shared" si="32"/>
        <v>82564</v>
      </c>
      <c r="R164" s="10">
        <f t="shared" si="33"/>
        <v>82564</v>
      </c>
    </row>
    <row r="165" spans="1:18" x14ac:dyDescent="0.2">
      <c r="A165" s="8">
        <v>16550</v>
      </c>
      <c r="B165" s="77" t="str">
        <f t="shared" si="17"/>
        <v>Randwick</v>
      </c>
      <c r="C165" s="9" t="str">
        <f t="shared" si="18"/>
        <v>SSROC</v>
      </c>
      <c r="D165" s="45" t="str">
        <f t="shared" si="19"/>
        <v>S</v>
      </c>
      <c r="E165" s="10">
        <f t="shared" si="20"/>
        <v>0</v>
      </c>
      <c r="F165" s="10">
        <f t="shared" si="21"/>
        <v>141840</v>
      </c>
      <c r="G165" s="10">
        <f t="shared" si="22"/>
        <v>60012</v>
      </c>
      <c r="H165" s="10">
        <f t="shared" si="23"/>
        <v>2.3635272945410919</v>
      </c>
      <c r="I165" s="10">
        <f t="shared" si="24"/>
        <v>36.299999999999997</v>
      </c>
      <c r="J165" s="10">
        <f t="shared" si="25"/>
        <v>3904.1</v>
      </c>
      <c r="K165" s="10">
        <f t="shared" si="26"/>
        <v>637.85</v>
      </c>
      <c r="L165" s="10">
        <f t="shared" si="27"/>
        <v>0</v>
      </c>
      <c r="M165" s="10">
        <f t="shared" si="28"/>
        <v>58522</v>
      </c>
      <c r="N165" s="10">
        <f t="shared" si="29"/>
        <v>59880</v>
      </c>
      <c r="O165" s="10">
        <f t="shared" si="30"/>
        <v>0</v>
      </c>
      <c r="P165" s="10">
        <f t="shared" si="31"/>
        <v>59881</v>
      </c>
      <c r="Q165" s="10">
        <f t="shared" si="32"/>
        <v>60012</v>
      </c>
      <c r="R165" s="10">
        <f t="shared" si="33"/>
        <v>60012</v>
      </c>
    </row>
    <row r="166" spans="1:18" x14ac:dyDescent="0.2">
      <c r="A166" s="8">
        <v>16700</v>
      </c>
      <c r="B166" s="77" t="str">
        <f t="shared" si="17"/>
        <v>Ryde</v>
      </c>
      <c r="C166" s="9" t="str">
        <f t="shared" si="18"/>
        <v>NSROC</v>
      </c>
      <c r="D166" s="45" t="str">
        <f t="shared" si="19"/>
        <v>S</v>
      </c>
      <c r="E166" s="10">
        <f t="shared" si="20"/>
        <v>0</v>
      </c>
      <c r="F166" s="10">
        <f t="shared" si="21"/>
        <v>135716</v>
      </c>
      <c r="G166" s="10">
        <f t="shared" si="22"/>
        <v>55382</v>
      </c>
      <c r="H166" s="10">
        <f t="shared" si="23"/>
        <v>2.4505434978874003</v>
      </c>
      <c r="I166" s="10">
        <f t="shared" si="24"/>
        <v>40.5</v>
      </c>
      <c r="J166" s="10">
        <f t="shared" si="25"/>
        <v>3353.1</v>
      </c>
      <c r="K166" s="10">
        <f t="shared" si="26"/>
        <v>422</v>
      </c>
      <c r="L166" s="10">
        <f t="shared" si="27"/>
        <v>0</v>
      </c>
      <c r="M166" s="10">
        <f t="shared" si="28"/>
        <v>53045</v>
      </c>
      <c r="N166" s="10">
        <f t="shared" si="29"/>
        <v>55387</v>
      </c>
      <c r="O166" s="10">
        <f t="shared" si="30"/>
        <v>29086</v>
      </c>
      <c r="P166" s="10">
        <f t="shared" si="31"/>
        <v>0</v>
      </c>
      <c r="Q166" s="10">
        <f t="shared" si="32"/>
        <v>55382</v>
      </c>
      <c r="R166" s="10">
        <f t="shared" si="33"/>
        <v>55382</v>
      </c>
    </row>
    <row r="167" spans="1:18" x14ac:dyDescent="0.2">
      <c r="A167" s="8">
        <v>17100</v>
      </c>
      <c r="B167" s="77" t="str">
        <f t="shared" si="17"/>
        <v>Strathfield</v>
      </c>
      <c r="C167" s="9">
        <f t="shared" si="18"/>
        <v>0</v>
      </c>
      <c r="D167" s="45" t="str">
        <f t="shared" si="19"/>
        <v>S</v>
      </c>
      <c r="E167" s="10">
        <f t="shared" si="20"/>
        <v>0</v>
      </c>
      <c r="F167" s="10">
        <f t="shared" si="21"/>
        <v>47824</v>
      </c>
      <c r="G167" s="10">
        <f t="shared" si="22"/>
        <v>20027</v>
      </c>
      <c r="H167" s="10">
        <f t="shared" si="23"/>
        <v>2.3879762320866829</v>
      </c>
      <c r="I167" s="10">
        <f t="shared" si="24"/>
        <v>14</v>
      </c>
      <c r="J167" s="10">
        <f t="shared" si="25"/>
        <v>3415.8</v>
      </c>
      <c r="K167" s="10">
        <f t="shared" si="26"/>
        <v>760</v>
      </c>
      <c r="L167" s="10">
        <f t="shared" si="27"/>
        <v>0</v>
      </c>
      <c r="M167" s="10">
        <f t="shared" si="28"/>
        <v>22272</v>
      </c>
      <c r="N167" s="10">
        <f t="shared" si="29"/>
        <v>21573</v>
      </c>
      <c r="O167" s="10">
        <f t="shared" si="30"/>
        <v>5833</v>
      </c>
      <c r="P167" s="10">
        <f t="shared" si="31"/>
        <v>0</v>
      </c>
      <c r="Q167" s="10">
        <f t="shared" si="32"/>
        <v>20027</v>
      </c>
      <c r="R167" s="10">
        <f t="shared" si="33"/>
        <v>20027</v>
      </c>
    </row>
    <row r="168" spans="1:18" x14ac:dyDescent="0.2">
      <c r="A168" s="8">
        <v>17150</v>
      </c>
      <c r="B168" s="77" t="str">
        <f t="shared" si="17"/>
        <v>Sutherland Shire</v>
      </c>
      <c r="C168" s="9" t="str">
        <f t="shared" si="18"/>
        <v>SSROC</v>
      </c>
      <c r="D168" s="45" t="str">
        <f t="shared" si="19"/>
        <v>S</v>
      </c>
      <c r="E168" s="10">
        <f t="shared" si="20"/>
        <v>0</v>
      </c>
      <c r="F168" s="10">
        <f t="shared" si="21"/>
        <v>235029</v>
      </c>
      <c r="G168" s="10">
        <f t="shared" si="22"/>
        <v>89473</v>
      </c>
      <c r="H168" s="10">
        <f t="shared" si="23"/>
        <v>2.6268147932895958</v>
      </c>
      <c r="I168" s="10">
        <f t="shared" si="24"/>
        <v>333.6</v>
      </c>
      <c r="J168" s="10">
        <f t="shared" si="25"/>
        <v>704.6</v>
      </c>
      <c r="K168" s="10">
        <f t="shared" si="26"/>
        <v>456.3</v>
      </c>
      <c r="L168" s="10">
        <f t="shared" si="27"/>
        <v>0</v>
      </c>
      <c r="M168" s="10">
        <f t="shared" si="28"/>
        <v>86673</v>
      </c>
      <c r="N168" s="10">
        <f t="shared" si="29"/>
        <v>86673</v>
      </c>
      <c r="O168" s="10">
        <f t="shared" si="30"/>
        <v>56595</v>
      </c>
      <c r="P168" s="10">
        <f t="shared" si="31"/>
        <v>0</v>
      </c>
      <c r="Q168" s="10">
        <f t="shared" si="32"/>
        <v>89473</v>
      </c>
      <c r="R168" s="10">
        <f t="shared" si="33"/>
        <v>89473</v>
      </c>
    </row>
    <row r="169" spans="1:18" x14ac:dyDescent="0.2">
      <c r="A169" s="8">
        <v>17200</v>
      </c>
      <c r="B169" s="77" t="str">
        <f t="shared" si="17"/>
        <v>Sydney</v>
      </c>
      <c r="C169" s="9" t="str">
        <f t="shared" si="18"/>
        <v>SSROC</v>
      </c>
      <c r="D169" s="45" t="str">
        <f t="shared" si="19"/>
        <v>S</v>
      </c>
      <c r="E169" s="10">
        <f t="shared" si="20"/>
        <v>0</v>
      </c>
      <c r="F169" s="10">
        <f t="shared" si="21"/>
        <v>231086</v>
      </c>
      <c r="G169" s="10">
        <f t="shared" si="22"/>
        <v>132291</v>
      </c>
      <c r="H169" s="10">
        <f t="shared" si="23"/>
        <v>1.7468006137983687</v>
      </c>
      <c r="I169" s="10">
        <f t="shared" si="24"/>
        <v>26.7</v>
      </c>
      <c r="J169" s="10">
        <f t="shared" si="25"/>
        <v>8662.6</v>
      </c>
      <c r="K169" s="10">
        <f t="shared" si="26"/>
        <v>532</v>
      </c>
      <c r="L169" s="10">
        <f t="shared" si="27"/>
        <v>0</v>
      </c>
      <c r="M169" s="10">
        <f t="shared" si="28"/>
        <v>119139</v>
      </c>
      <c r="N169" s="10">
        <f t="shared" si="29"/>
        <v>163547</v>
      </c>
      <c r="O169" s="10">
        <f t="shared" si="30"/>
        <v>55754</v>
      </c>
      <c r="P169" s="10">
        <f t="shared" si="31"/>
        <v>19625</v>
      </c>
      <c r="Q169" s="10">
        <f t="shared" si="32"/>
        <v>132291</v>
      </c>
      <c r="R169" s="10">
        <f t="shared" si="33"/>
        <v>132291</v>
      </c>
    </row>
    <row r="170" spans="1:18" x14ac:dyDescent="0.2">
      <c r="A170" s="8">
        <v>17420</v>
      </c>
      <c r="B170" s="77" t="str">
        <f t="shared" si="17"/>
        <v>The Hills Shire</v>
      </c>
      <c r="C170" s="9" t="str">
        <f t="shared" si="18"/>
        <v>WSROC</v>
      </c>
      <c r="D170" s="45" t="str">
        <f t="shared" si="19"/>
        <v>S</v>
      </c>
      <c r="E170" s="10">
        <f t="shared" si="20"/>
        <v>0</v>
      </c>
      <c r="F170" s="10">
        <f t="shared" si="21"/>
        <v>207959</v>
      </c>
      <c r="G170" s="10">
        <f t="shared" si="22"/>
        <v>73354</v>
      </c>
      <c r="H170" s="10">
        <f t="shared" si="23"/>
        <v>2.8350055893339148</v>
      </c>
      <c r="I170" s="10">
        <f t="shared" si="24"/>
        <v>386.2</v>
      </c>
      <c r="J170" s="10">
        <f t="shared" si="25"/>
        <v>538.5</v>
      </c>
      <c r="K170" s="10">
        <f t="shared" si="26"/>
        <v>470</v>
      </c>
      <c r="L170" s="10">
        <f t="shared" si="27"/>
        <v>0</v>
      </c>
      <c r="M170" s="10">
        <f t="shared" si="28"/>
        <v>58651</v>
      </c>
      <c r="N170" s="10">
        <f t="shared" si="29"/>
        <v>59921</v>
      </c>
      <c r="O170" s="10">
        <f t="shared" si="30"/>
        <v>51175</v>
      </c>
      <c r="P170" s="10">
        <f t="shared" si="31"/>
        <v>0</v>
      </c>
      <c r="Q170" s="10">
        <f t="shared" si="32"/>
        <v>73354</v>
      </c>
      <c r="R170" s="10">
        <f t="shared" si="33"/>
        <v>73354</v>
      </c>
    </row>
    <row r="171" spans="1:18" x14ac:dyDescent="0.2">
      <c r="A171" s="8">
        <v>18050</v>
      </c>
      <c r="B171" s="77" t="str">
        <f t="shared" si="17"/>
        <v>Waverley</v>
      </c>
      <c r="C171" s="9" t="str">
        <f t="shared" si="18"/>
        <v>SSROC</v>
      </c>
      <c r="D171" s="45" t="str">
        <f t="shared" si="19"/>
        <v>S</v>
      </c>
      <c r="E171" s="10">
        <f t="shared" si="20"/>
        <v>0</v>
      </c>
      <c r="F171" s="10">
        <f t="shared" si="21"/>
        <v>71414</v>
      </c>
      <c r="G171" s="10">
        <f t="shared" si="22"/>
        <v>29835</v>
      </c>
      <c r="H171" s="10">
        <f t="shared" si="23"/>
        <v>2.3936316406904643</v>
      </c>
      <c r="I171" s="10">
        <f t="shared" si="24"/>
        <v>9.4</v>
      </c>
      <c r="J171" s="10">
        <f t="shared" si="25"/>
        <v>7637.4</v>
      </c>
      <c r="K171" s="10">
        <f t="shared" si="26"/>
        <v>594.4</v>
      </c>
      <c r="L171" s="10">
        <f t="shared" si="27"/>
        <v>0</v>
      </c>
      <c r="M171" s="10">
        <f t="shared" si="28"/>
        <v>29829</v>
      </c>
      <c r="N171" s="10">
        <f t="shared" si="29"/>
        <v>40270</v>
      </c>
      <c r="O171" s="10">
        <f t="shared" si="30"/>
        <v>29829</v>
      </c>
      <c r="P171" s="10">
        <f t="shared" si="31"/>
        <v>0</v>
      </c>
      <c r="Q171" s="10">
        <f t="shared" si="32"/>
        <v>29835</v>
      </c>
      <c r="R171" s="10">
        <f t="shared" si="33"/>
        <v>29835</v>
      </c>
    </row>
    <row r="172" spans="1:18" x14ac:dyDescent="0.2">
      <c r="A172" s="8">
        <v>18250</v>
      </c>
      <c r="B172" s="77" t="str">
        <f t="shared" si="17"/>
        <v>Willoughby</v>
      </c>
      <c r="C172" s="9" t="str">
        <f t="shared" si="18"/>
        <v>NSROC</v>
      </c>
      <c r="D172" s="45" t="str">
        <f t="shared" si="19"/>
        <v>S</v>
      </c>
      <c r="E172" s="10">
        <f t="shared" si="20"/>
        <v>0</v>
      </c>
      <c r="F172" s="10">
        <f t="shared" si="21"/>
        <v>77874</v>
      </c>
      <c r="G172" s="10">
        <f t="shared" si="22"/>
        <v>30797</v>
      </c>
      <c r="H172" s="10">
        <f t="shared" si="23"/>
        <v>2.5286229178166706</v>
      </c>
      <c r="I172" s="10">
        <f t="shared" si="24"/>
        <v>22.4</v>
      </c>
      <c r="J172" s="10">
        <f t="shared" si="25"/>
        <v>3472.5</v>
      </c>
      <c r="K172" s="10">
        <f t="shared" si="26"/>
        <v>561.5</v>
      </c>
      <c r="L172" s="10">
        <f t="shared" si="27"/>
        <v>0</v>
      </c>
      <c r="M172" s="10">
        <f t="shared" si="28"/>
        <v>18259</v>
      </c>
      <c r="N172" s="10">
        <f t="shared" si="29"/>
        <v>18716</v>
      </c>
      <c r="O172" s="10">
        <f t="shared" si="30"/>
        <v>16752</v>
      </c>
      <c r="P172" s="10">
        <f t="shared" si="31"/>
        <v>0</v>
      </c>
      <c r="Q172" s="10">
        <f t="shared" si="32"/>
        <v>30797</v>
      </c>
      <c r="R172" s="10">
        <f t="shared" si="33"/>
        <v>30797</v>
      </c>
    </row>
    <row r="173" spans="1:18" x14ac:dyDescent="0.2">
      <c r="A173" s="8">
        <v>18500</v>
      </c>
      <c r="B173" s="77" t="str">
        <f t="shared" si="17"/>
        <v>Woollahra</v>
      </c>
      <c r="C173" s="9" t="str">
        <f t="shared" si="18"/>
        <v>SSROC</v>
      </c>
      <c r="D173" s="45" t="str">
        <f t="shared" si="19"/>
        <v>S</v>
      </c>
      <c r="E173" s="10">
        <f t="shared" si="20"/>
        <v>0</v>
      </c>
      <c r="F173" s="10">
        <f t="shared" si="21"/>
        <v>54660</v>
      </c>
      <c r="G173" s="10">
        <f t="shared" si="22"/>
        <v>25863</v>
      </c>
      <c r="H173" s="10">
        <f t="shared" si="23"/>
        <v>2.1134439160190235</v>
      </c>
      <c r="I173" s="10">
        <f t="shared" si="24"/>
        <v>12.3</v>
      </c>
      <c r="J173" s="10">
        <f t="shared" si="25"/>
        <v>4459</v>
      </c>
      <c r="K173" s="10">
        <f t="shared" si="26"/>
        <v>609.20000000000005</v>
      </c>
      <c r="L173" s="10">
        <f t="shared" si="27"/>
        <v>0</v>
      </c>
      <c r="M173" s="10">
        <f t="shared" si="28"/>
        <v>23519</v>
      </c>
      <c r="N173" s="10" t="str">
        <f t="shared" si="29"/>
        <v>-</v>
      </c>
      <c r="O173" s="10">
        <f t="shared" si="30"/>
        <v>0</v>
      </c>
      <c r="P173" s="10">
        <f t="shared" si="31"/>
        <v>1000</v>
      </c>
      <c r="Q173" s="10">
        <f t="shared" si="32"/>
        <v>25863</v>
      </c>
      <c r="R173" s="10">
        <f t="shared" si="33"/>
        <v>25863</v>
      </c>
    </row>
    <row r="174" spans="1:18" x14ac:dyDescent="0.2">
      <c r="A174" s="8">
        <v>11650</v>
      </c>
      <c r="B174" s="77" t="str">
        <f t="shared" si="17"/>
        <v>Central Coast</v>
      </c>
      <c r="C174" s="9" t="str">
        <f t="shared" si="18"/>
        <v>Hunter</v>
      </c>
      <c r="D174" s="45" t="str">
        <f t="shared" si="19"/>
        <v>S</v>
      </c>
      <c r="E174" s="10">
        <f t="shared" si="20"/>
        <v>0</v>
      </c>
      <c r="F174" s="10">
        <f t="shared" si="21"/>
        <v>351934</v>
      </c>
      <c r="G174" s="10">
        <f t="shared" si="22"/>
        <v>150729</v>
      </c>
      <c r="H174" s="10">
        <f t="shared" si="23"/>
        <v>2.3348791539783318</v>
      </c>
      <c r="I174" s="10">
        <f t="shared" si="24"/>
        <v>1681</v>
      </c>
      <c r="J174" s="10">
        <f t="shared" si="25"/>
        <v>209.4</v>
      </c>
      <c r="K174" s="10">
        <f t="shared" si="26"/>
        <v>520</v>
      </c>
      <c r="L174" s="10">
        <f t="shared" si="27"/>
        <v>0</v>
      </c>
      <c r="M174" s="10">
        <f t="shared" si="28"/>
        <v>129623</v>
      </c>
      <c r="N174" s="10">
        <f t="shared" si="29"/>
        <v>130046</v>
      </c>
      <c r="O174" s="10">
        <f t="shared" si="30"/>
        <v>126259</v>
      </c>
      <c r="P174" s="10">
        <f t="shared" si="31"/>
        <v>0</v>
      </c>
      <c r="Q174" s="10">
        <f t="shared" si="32"/>
        <v>150729</v>
      </c>
      <c r="R174" s="10">
        <f t="shared" si="33"/>
        <v>150729</v>
      </c>
    </row>
    <row r="175" spans="1:18" x14ac:dyDescent="0.2">
      <c r="A175" s="8">
        <v>11720</v>
      </c>
      <c r="B175" s="77" t="str">
        <f t="shared" si="17"/>
        <v>Cessnock</v>
      </c>
      <c r="C175" s="9" t="str">
        <f t="shared" si="18"/>
        <v>Hunter</v>
      </c>
      <c r="D175" s="45" t="str">
        <f t="shared" si="19"/>
        <v>S</v>
      </c>
      <c r="E175" s="10" t="str">
        <f t="shared" si="20"/>
        <v>HJO</v>
      </c>
      <c r="F175" s="10">
        <f t="shared" si="21"/>
        <v>67591</v>
      </c>
      <c r="G175" s="10">
        <f t="shared" si="22"/>
        <v>29210</v>
      </c>
      <c r="H175" s="10">
        <f t="shared" si="23"/>
        <v>2.3139678192399864</v>
      </c>
      <c r="I175" s="10">
        <f t="shared" si="24"/>
        <v>1965.2</v>
      </c>
      <c r="J175" s="10">
        <f t="shared" si="25"/>
        <v>34.4</v>
      </c>
      <c r="K175" s="10">
        <f t="shared" si="26"/>
        <v>645</v>
      </c>
      <c r="L175" s="10">
        <f t="shared" si="27"/>
        <v>0</v>
      </c>
      <c r="M175" s="10">
        <f t="shared" si="28"/>
        <v>25207</v>
      </c>
      <c r="N175" s="10">
        <f t="shared" si="29"/>
        <v>25467</v>
      </c>
      <c r="O175" s="10">
        <f t="shared" si="30"/>
        <v>25204</v>
      </c>
      <c r="P175" s="10">
        <f t="shared" si="31"/>
        <v>0</v>
      </c>
      <c r="Q175" s="10">
        <f t="shared" si="32"/>
        <v>0</v>
      </c>
      <c r="R175" s="10">
        <f t="shared" si="33"/>
        <v>29210</v>
      </c>
    </row>
    <row r="176" spans="1:18" x14ac:dyDescent="0.2">
      <c r="A176" s="8">
        <v>13800</v>
      </c>
      <c r="B176" s="77" t="str">
        <f t="shared" si="17"/>
        <v>Hawkesbury</v>
      </c>
      <c r="C176" s="9" t="str">
        <f t="shared" si="18"/>
        <v>WSROC</v>
      </c>
      <c r="D176" s="45" t="str">
        <f t="shared" si="19"/>
        <v>S</v>
      </c>
      <c r="E176" s="10">
        <f t="shared" si="20"/>
        <v>0</v>
      </c>
      <c r="F176" s="10">
        <f t="shared" si="21"/>
        <v>68156</v>
      </c>
      <c r="G176" s="10">
        <f t="shared" si="22"/>
        <v>26898</v>
      </c>
      <c r="H176" s="10">
        <f t="shared" si="23"/>
        <v>2.5338686891218676</v>
      </c>
      <c r="I176" s="10">
        <f t="shared" si="24"/>
        <v>2775.1</v>
      </c>
      <c r="J176" s="10">
        <f t="shared" si="25"/>
        <v>24.6</v>
      </c>
      <c r="K176" s="10">
        <f t="shared" si="26"/>
        <v>787.1</v>
      </c>
      <c r="L176" s="10">
        <f t="shared" si="27"/>
        <v>0</v>
      </c>
      <c r="M176" s="10">
        <f t="shared" si="28"/>
        <v>25059</v>
      </c>
      <c r="N176" s="10">
        <f t="shared" si="29"/>
        <v>25059</v>
      </c>
      <c r="O176" s="10">
        <f t="shared" si="30"/>
        <v>14638</v>
      </c>
      <c r="P176" s="10">
        <f t="shared" si="31"/>
        <v>0</v>
      </c>
      <c r="Q176" s="10">
        <f t="shared" si="32"/>
        <v>26898</v>
      </c>
      <c r="R176" s="10">
        <f t="shared" si="33"/>
        <v>26898</v>
      </c>
    </row>
    <row r="177" spans="1:18" x14ac:dyDescent="0.2">
      <c r="A177" s="8">
        <v>14400</v>
      </c>
      <c r="B177" s="77" t="str">
        <f t="shared" si="17"/>
        <v>Kiama</v>
      </c>
      <c r="C177" s="9" t="str">
        <f t="shared" si="18"/>
        <v>ISJO</v>
      </c>
      <c r="D177" s="45" t="str">
        <f t="shared" si="19"/>
        <v>S</v>
      </c>
      <c r="E177" s="10" t="str">
        <f t="shared" si="20"/>
        <v>ISJO</v>
      </c>
      <c r="F177" s="10">
        <f t="shared" si="21"/>
        <v>23002</v>
      </c>
      <c r="G177" s="10">
        <f t="shared" si="22"/>
        <v>10766</v>
      </c>
      <c r="H177" s="10">
        <f t="shared" si="23"/>
        <v>2.1365409622886866</v>
      </c>
      <c r="I177" s="10">
        <f t="shared" si="24"/>
        <v>257.7</v>
      </c>
      <c r="J177" s="10">
        <f t="shared" si="25"/>
        <v>89.3</v>
      </c>
      <c r="K177" s="10">
        <f t="shared" si="26"/>
        <v>611.5</v>
      </c>
      <c r="L177" s="10" t="str">
        <f t="shared" si="27"/>
        <v>2021-2022 data used for some questions</v>
      </c>
      <c r="M177" s="10">
        <f t="shared" si="28"/>
        <v>11156</v>
      </c>
      <c r="N177" s="10">
        <f t="shared" si="29"/>
        <v>10322</v>
      </c>
      <c r="O177" s="10">
        <f t="shared" si="30"/>
        <v>0</v>
      </c>
      <c r="P177" s="10">
        <f t="shared" si="31"/>
        <v>9215</v>
      </c>
      <c r="Q177" s="10">
        <f t="shared" si="32"/>
        <v>11156</v>
      </c>
      <c r="R177" s="10">
        <f t="shared" si="33"/>
        <v>11156</v>
      </c>
    </row>
    <row r="178" spans="1:18" x14ac:dyDescent="0.2">
      <c r="A178" s="8">
        <v>14650</v>
      </c>
      <c r="B178" s="77" t="str">
        <f t="shared" si="17"/>
        <v>Lake Macquarie</v>
      </c>
      <c r="C178" s="9" t="str">
        <f t="shared" si="18"/>
        <v>Hunter</v>
      </c>
      <c r="D178" s="45" t="str">
        <f t="shared" si="19"/>
        <v>S</v>
      </c>
      <c r="E178" s="10" t="str">
        <f t="shared" si="20"/>
        <v>HJO</v>
      </c>
      <c r="F178" s="10">
        <f t="shared" si="21"/>
        <v>219249</v>
      </c>
      <c r="G178" s="10">
        <f t="shared" si="22"/>
        <v>88626</v>
      </c>
      <c r="H178" s="10">
        <f t="shared" si="23"/>
        <v>2.4738677137634553</v>
      </c>
      <c r="I178" s="10">
        <f t="shared" si="24"/>
        <v>648.6</v>
      </c>
      <c r="J178" s="10">
        <f t="shared" si="25"/>
        <v>338</v>
      </c>
      <c r="K178" s="10">
        <f t="shared" si="26"/>
        <v>492</v>
      </c>
      <c r="L178" s="10">
        <f t="shared" si="27"/>
        <v>0</v>
      </c>
      <c r="M178" s="10">
        <f t="shared" si="28"/>
        <v>85853</v>
      </c>
      <c r="N178" s="10">
        <f t="shared" si="29"/>
        <v>86426</v>
      </c>
      <c r="O178" s="10">
        <f t="shared" si="30"/>
        <v>0</v>
      </c>
      <c r="P178" s="10">
        <f t="shared" si="31"/>
        <v>86426</v>
      </c>
      <c r="Q178" s="10">
        <f t="shared" si="32"/>
        <v>88626</v>
      </c>
      <c r="R178" s="10">
        <f t="shared" si="33"/>
        <v>88626</v>
      </c>
    </row>
    <row r="179" spans="1:18" x14ac:dyDescent="0.2">
      <c r="A179" s="8">
        <v>15050</v>
      </c>
      <c r="B179" s="77" t="str">
        <f t="shared" si="17"/>
        <v>Maitland</v>
      </c>
      <c r="C179" s="9" t="str">
        <f t="shared" si="18"/>
        <v>Hunter</v>
      </c>
      <c r="D179" s="45" t="str">
        <f t="shared" si="19"/>
        <v>S</v>
      </c>
      <c r="E179" s="10" t="str">
        <f t="shared" si="20"/>
        <v>HJO</v>
      </c>
      <c r="F179" s="10">
        <f t="shared" si="21"/>
        <v>95957</v>
      </c>
      <c r="G179" s="10">
        <f t="shared" si="22"/>
        <v>36938</v>
      </c>
      <c r="H179" s="10">
        <f t="shared" si="23"/>
        <v>2.597785478369159</v>
      </c>
      <c r="I179" s="10">
        <f t="shared" si="24"/>
        <v>391.5</v>
      </c>
      <c r="J179" s="10">
        <f t="shared" si="25"/>
        <v>245.1</v>
      </c>
      <c r="K179" s="10">
        <f t="shared" si="26"/>
        <v>530.35</v>
      </c>
      <c r="L179" s="10">
        <f t="shared" si="27"/>
        <v>0</v>
      </c>
      <c r="M179" s="10">
        <f t="shared" si="28"/>
        <v>34593</v>
      </c>
      <c r="N179" s="10">
        <f t="shared" si="29"/>
        <v>34593</v>
      </c>
      <c r="O179" s="10">
        <f t="shared" si="30"/>
        <v>34593</v>
      </c>
      <c r="P179" s="10">
        <f t="shared" si="31"/>
        <v>0</v>
      </c>
      <c r="Q179" s="10">
        <f t="shared" si="32"/>
        <v>36938</v>
      </c>
      <c r="R179" s="10">
        <f t="shared" si="33"/>
        <v>36938</v>
      </c>
    </row>
    <row r="180" spans="1:18" x14ac:dyDescent="0.2">
      <c r="A180" s="8">
        <v>15900</v>
      </c>
      <c r="B180" s="77" t="str">
        <f t="shared" si="17"/>
        <v>Newcastle</v>
      </c>
      <c r="C180" s="9" t="str">
        <f t="shared" si="18"/>
        <v>Hunter</v>
      </c>
      <c r="D180" s="45" t="str">
        <f t="shared" si="19"/>
        <v>S</v>
      </c>
      <c r="E180" s="10" t="str">
        <f t="shared" si="20"/>
        <v>HJO</v>
      </c>
      <c r="F180" s="10">
        <f t="shared" si="21"/>
        <v>174294</v>
      </c>
      <c r="G180" s="10">
        <f t="shared" si="22"/>
        <v>74452</v>
      </c>
      <c r="H180" s="10">
        <f t="shared" si="23"/>
        <v>2.3410250899908664</v>
      </c>
      <c r="I180" s="10">
        <f t="shared" si="24"/>
        <v>186.7</v>
      </c>
      <c r="J180" s="10">
        <f t="shared" si="25"/>
        <v>933.4</v>
      </c>
      <c r="K180" s="10">
        <f t="shared" si="26"/>
        <v>460</v>
      </c>
      <c r="L180" s="10">
        <f t="shared" si="27"/>
        <v>0</v>
      </c>
      <c r="M180" s="10">
        <f t="shared" si="28"/>
        <v>70121</v>
      </c>
      <c r="N180" s="10">
        <f t="shared" si="29"/>
        <v>51814</v>
      </c>
      <c r="O180" s="10">
        <f t="shared" si="30"/>
        <v>69687</v>
      </c>
      <c r="P180" s="10">
        <f t="shared" si="31"/>
        <v>0</v>
      </c>
      <c r="Q180" s="10">
        <f t="shared" si="32"/>
        <v>74452</v>
      </c>
      <c r="R180" s="10">
        <f t="shared" si="33"/>
        <v>74452</v>
      </c>
    </row>
    <row r="181" spans="1:18" x14ac:dyDescent="0.2">
      <c r="A181" s="8">
        <v>16400</v>
      </c>
      <c r="B181" s="77" t="str">
        <f t="shared" si="17"/>
        <v>Port Stephens</v>
      </c>
      <c r="C181" s="9" t="str">
        <f t="shared" si="18"/>
        <v>Hunter</v>
      </c>
      <c r="D181" s="45" t="str">
        <f t="shared" si="19"/>
        <v>S</v>
      </c>
      <c r="E181" s="10" t="str">
        <f t="shared" si="20"/>
        <v>HJO</v>
      </c>
      <c r="F181" s="10">
        <f t="shared" si="21"/>
        <v>77748</v>
      </c>
      <c r="G181" s="10">
        <f t="shared" si="22"/>
        <v>35345</v>
      </c>
      <c r="H181" s="10">
        <f t="shared" si="23"/>
        <v>2.1996887820059414</v>
      </c>
      <c r="I181" s="10">
        <f t="shared" si="24"/>
        <v>858.4</v>
      </c>
      <c r="J181" s="10">
        <f t="shared" si="25"/>
        <v>90.6</v>
      </c>
      <c r="K181" s="10">
        <f t="shared" si="26"/>
        <v>635</v>
      </c>
      <c r="L181" s="10">
        <f t="shared" si="27"/>
        <v>0</v>
      </c>
      <c r="M181" s="10">
        <f t="shared" si="28"/>
        <v>34014</v>
      </c>
      <c r="N181" s="10">
        <f t="shared" si="29"/>
        <v>34014</v>
      </c>
      <c r="O181" s="10">
        <f t="shared" si="30"/>
        <v>0</v>
      </c>
      <c r="P181" s="10">
        <f t="shared" si="31"/>
        <v>0</v>
      </c>
      <c r="Q181" s="10">
        <f t="shared" si="32"/>
        <v>35345</v>
      </c>
      <c r="R181" s="10">
        <f t="shared" si="33"/>
        <v>35345</v>
      </c>
    </row>
    <row r="182" spans="1:18" x14ac:dyDescent="0.2">
      <c r="A182" s="8">
        <v>16900</v>
      </c>
      <c r="B182" s="77" t="str">
        <f t="shared" si="17"/>
        <v>Shellharbour</v>
      </c>
      <c r="C182" s="9" t="str">
        <f t="shared" si="18"/>
        <v>ISJO</v>
      </c>
      <c r="D182" s="45" t="str">
        <f t="shared" si="19"/>
        <v>S</v>
      </c>
      <c r="E182" s="10" t="str">
        <f t="shared" si="20"/>
        <v>ISJO</v>
      </c>
      <c r="F182" s="10">
        <f t="shared" si="21"/>
        <v>79738</v>
      </c>
      <c r="G182" s="10">
        <f t="shared" si="22"/>
        <v>29864</v>
      </c>
      <c r="H182" s="10">
        <f t="shared" si="23"/>
        <v>2.6700375033485133</v>
      </c>
      <c r="I182" s="10">
        <f t="shared" si="24"/>
        <v>147.4</v>
      </c>
      <c r="J182" s="10">
        <f t="shared" si="25"/>
        <v>540.9</v>
      </c>
      <c r="K182" s="10">
        <f t="shared" si="26"/>
        <v>582</v>
      </c>
      <c r="L182" s="10">
        <f t="shared" si="27"/>
        <v>0</v>
      </c>
      <c r="M182" s="10">
        <f t="shared" si="28"/>
        <v>31111</v>
      </c>
      <c r="N182" s="10">
        <f t="shared" si="29"/>
        <v>30243</v>
      </c>
      <c r="O182" s="10">
        <f t="shared" si="30"/>
        <v>0</v>
      </c>
      <c r="P182" s="10">
        <f t="shared" si="31"/>
        <v>28705</v>
      </c>
      <c r="Q182" s="10">
        <f t="shared" si="32"/>
        <v>29864</v>
      </c>
      <c r="R182" s="10">
        <f t="shared" si="33"/>
        <v>29864</v>
      </c>
    </row>
    <row r="183" spans="1:18" x14ac:dyDescent="0.2">
      <c r="A183" s="8">
        <v>16950</v>
      </c>
      <c r="B183" s="77" t="str">
        <f t="shared" si="17"/>
        <v>Shoalhaven</v>
      </c>
      <c r="C183" s="9" t="str">
        <f t="shared" si="18"/>
        <v>ISJO</v>
      </c>
      <c r="D183" s="45" t="str">
        <f t="shared" si="19"/>
        <v>S</v>
      </c>
      <c r="E183" s="10" t="str">
        <f t="shared" si="20"/>
        <v>ISJO</v>
      </c>
      <c r="F183" s="10">
        <f t="shared" si="21"/>
        <v>109895</v>
      </c>
      <c r="G183" s="10">
        <f t="shared" si="22"/>
        <v>59888</v>
      </c>
      <c r="H183" s="10">
        <f t="shared" si="23"/>
        <v>1.8350086828746994</v>
      </c>
      <c r="I183" s="10">
        <f t="shared" si="24"/>
        <v>4567.2</v>
      </c>
      <c r="J183" s="10">
        <f t="shared" si="25"/>
        <v>24.1</v>
      </c>
      <c r="K183" s="10">
        <f t="shared" si="26"/>
        <v>441</v>
      </c>
      <c r="L183" s="10">
        <f t="shared" si="27"/>
        <v>0</v>
      </c>
      <c r="M183" s="10">
        <f t="shared" si="28"/>
        <v>54455</v>
      </c>
      <c r="N183" s="10">
        <f t="shared" si="29"/>
        <v>56922</v>
      </c>
      <c r="O183" s="10">
        <f t="shared" si="30"/>
        <v>0</v>
      </c>
      <c r="P183" s="10">
        <f t="shared" si="31"/>
        <v>0</v>
      </c>
      <c r="Q183" s="10">
        <f t="shared" si="32"/>
        <v>59888</v>
      </c>
      <c r="R183" s="10">
        <f t="shared" si="33"/>
        <v>59888</v>
      </c>
    </row>
    <row r="184" spans="1:18" x14ac:dyDescent="0.2">
      <c r="A184" s="8">
        <v>18350</v>
      </c>
      <c r="B184" s="77" t="str">
        <f t="shared" si="17"/>
        <v>Wingecarribee</v>
      </c>
      <c r="C184" s="9" t="str">
        <f t="shared" si="18"/>
        <v>CRJO</v>
      </c>
      <c r="D184" s="45" t="str">
        <f t="shared" si="19"/>
        <v>S</v>
      </c>
      <c r="E184" s="10" t="str">
        <f t="shared" si="20"/>
        <v>CRJO</v>
      </c>
      <c r="F184" s="10">
        <f t="shared" si="21"/>
        <v>53109</v>
      </c>
      <c r="G184" s="10">
        <f t="shared" si="22"/>
        <v>21704</v>
      </c>
      <c r="H184" s="10">
        <f t="shared" si="23"/>
        <v>2.446968300774051</v>
      </c>
      <c r="I184" s="10">
        <f t="shared" si="24"/>
        <v>2689.3</v>
      </c>
      <c r="J184" s="10">
        <f t="shared" si="25"/>
        <v>19.7</v>
      </c>
      <c r="K184" s="10">
        <f t="shared" si="26"/>
        <v>510.9</v>
      </c>
      <c r="L184" s="10">
        <f t="shared" si="27"/>
        <v>0</v>
      </c>
      <c r="M184" s="10">
        <f t="shared" si="28"/>
        <v>20531</v>
      </c>
      <c r="N184" s="10">
        <f t="shared" si="29"/>
        <v>20531</v>
      </c>
      <c r="O184" s="10">
        <f t="shared" si="30"/>
        <v>20664</v>
      </c>
      <c r="P184" s="10">
        <f t="shared" si="31"/>
        <v>0</v>
      </c>
      <c r="Q184" s="10">
        <f t="shared" si="32"/>
        <v>21704</v>
      </c>
      <c r="R184" s="10">
        <f t="shared" si="33"/>
        <v>21704</v>
      </c>
    </row>
    <row r="185" spans="1:18" ht="13.5" thickBot="1" x14ac:dyDescent="0.25">
      <c r="A185" s="8">
        <v>18450</v>
      </c>
      <c r="B185" s="77" t="str">
        <f t="shared" si="17"/>
        <v>Wollongong</v>
      </c>
      <c r="C185" s="9" t="str">
        <f t="shared" si="18"/>
        <v>ISJO</v>
      </c>
      <c r="D185" s="45" t="str">
        <f t="shared" si="19"/>
        <v>S</v>
      </c>
      <c r="E185" s="10" t="str">
        <f t="shared" si="20"/>
        <v>ISJO</v>
      </c>
      <c r="F185" s="10">
        <f t="shared" si="21"/>
        <v>219141</v>
      </c>
      <c r="G185" s="10">
        <f t="shared" si="22"/>
        <v>107274</v>
      </c>
      <c r="H185" s="10">
        <f t="shared" si="23"/>
        <v>2.042815593713295</v>
      </c>
      <c r="I185" s="10">
        <f t="shared" si="24"/>
        <v>684.3</v>
      </c>
      <c r="J185" s="10">
        <f t="shared" si="25"/>
        <v>320.2</v>
      </c>
      <c r="K185" s="10">
        <f t="shared" si="26"/>
        <v>446.5</v>
      </c>
      <c r="L185" s="10">
        <f t="shared" si="27"/>
        <v>0</v>
      </c>
      <c r="M185" s="10">
        <f t="shared" si="28"/>
        <v>87152</v>
      </c>
      <c r="N185" s="10">
        <f t="shared" si="29"/>
        <v>87152</v>
      </c>
      <c r="O185" s="10">
        <f t="shared" si="30"/>
        <v>0</v>
      </c>
      <c r="P185" s="10">
        <f t="shared" si="31"/>
        <v>87152</v>
      </c>
      <c r="Q185" s="10">
        <f t="shared" si="32"/>
        <v>107274</v>
      </c>
      <c r="R185" s="10">
        <f t="shared" si="33"/>
        <v>107274</v>
      </c>
    </row>
    <row r="186" spans="1:18" ht="13.5" thickTop="1" x14ac:dyDescent="0.2">
      <c r="A186" s="11"/>
      <c r="B186" s="11"/>
      <c r="C186" s="11" t="s">
        <v>26</v>
      </c>
      <c r="D186" s="11"/>
      <c r="E186" s="12"/>
      <c r="F186" s="13">
        <f t="shared" ref="F186:R186" si="34">COUNTIF(F144:F185,"&gt;0")</f>
        <v>42</v>
      </c>
      <c r="G186" s="13">
        <f t="shared" si="34"/>
        <v>42</v>
      </c>
      <c r="H186" s="13">
        <f t="shared" si="34"/>
        <v>42</v>
      </c>
      <c r="I186" s="13">
        <f t="shared" si="34"/>
        <v>42</v>
      </c>
      <c r="J186" s="13">
        <f t="shared" si="34"/>
        <v>42</v>
      </c>
      <c r="K186" s="13">
        <f t="shared" si="34"/>
        <v>42</v>
      </c>
      <c r="L186" s="13">
        <f t="shared" si="34"/>
        <v>0</v>
      </c>
      <c r="M186" s="13">
        <f t="shared" si="34"/>
        <v>42</v>
      </c>
      <c r="N186" s="13">
        <f t="shared" si="34"/>
        <v>41</v>
      </c>
      <c r="O186" s="13">
        <f t="shared" si="34"/>
        <v>29</v>
      </c>
      <c r="P186" s="13">
        <f t="shared" si="34"/>
        <v>9</v>
      </c>
      <c r="Q186" s="13">
        <f t="shared" si="34"/>
        <v>41</v>
      </c>
      <c r="R186" s="13">
        <f t="shared" si="34"/>
        <v>42</v>
      </c>
    </row>
    <row r="187" spans="1:18" x14ac:dyDescent="0.2">
      <c r="A187" s="8"/>
      <c r="B187" s="14" t="s">
        <v>458</v>
      </c>
      <c r="C187" s="8" t="s">
        <v>27</v>
      </c>
      <c r="D187" s="8"/>
      <c r="E187" s="69"/>
      <c r="F187" s="15">
        <f>SUM(F144:F185)</f>
        <v>6434099</v>
      </c>
      <c r="G187" s="15">
        <f>SUM(G144:G185)</f>
        <v>2566478</v>
      </c>
      <c r="H187" s="93">
        <f>F187/G187</f>
        <v>2.5069760972040283</v>
      </c>
      <c r="I187" s="15">
        <f t="shared" ref="I187:R187" si="35">SUM(I144:I185)</f>
        <v>20545.2</v>
      </c>
      <c r="J187" s="15">
        <f t="shared" si="35"/>
        <v>98682.7</v>
      </c>
      <c r="K187" s="15">
        <f t="shared" si="35"/>
        <v>22432.45</v>
      </c>
      <c r="L187" s="15">
        <f t="shared" si="35"/>
        <v>0</v>
      </c>
      <c r="M187" s="15">
        <f t="shared" si="35"/>
        <v>2332481</v>
      </c>
      <c r="N187" s="15">
        <f t="shared" si="35"/>
        <v>2258395</v>
      </c>
      <c r="O187" s="15">
        <f t="shared" si="35"/>
        <v>1220937</v>
      </c>
      <c r="P187" s="15">
        <f t="shared" si="35"/>
        <v>362246</v>
      </c>
      <c r="Q187" s="15">
        <f t="shared" si="35"/>
        <v>2537658</v>
      </c>
      <c r="R187" s="15">
        <f t="shared" si="35"/>
        <v>2566868</v>
      </c>
    </row>
    <row r="188" spans="1:18" x14ac:dyDescent="0.2">
      <c r="A188" s="8"/>
      <c r="B188" s="14"/>
      <c r="C188" s="8" t="s">
        <v>28</v>
      </c>
      <c r="D188" s="8"/>
      <c r="E188" s="69"/>
      <c r="F188" s="10">
        <f t="shared" ref="F188:R188" si="36">MIN(F144:F185)</f>
        <v>14036</v>
      </c>
      <c r="G188" s="10">
        <f t="shared" si="36"/>
        <v>5776</v>
      </c>
      <c r="H188" s="10">
        <f t="shared" si="36"/>
        <v>1.7468006137983687</v>
      </c>
      <c r="I188" s="10">
        <f t="shared" si="36"/>
        <v>5.7</v>
      </c>
      <c r="J188" s="10">
        <f t="shared" si="36"/>
        <v>19.7</v>
      </c>
      <c r="K188" s="10">
        <f t="shared" si="36"/>
        <v>384</v>
      </c>
      <c r="L188" s="10">
        <f t="shared" si="36"/>
        <v>0</v>
      </c>
      <c r="M188" s="10">
        <f t="shared" si="36"/>
        <v>5271</v>
      </c>
      <c r="N188" s="10">
        <f t="shared" si="36"/>
        <v>5275</v>
      </c>
      <c r="O188" s="10">
        <f t="shared" si="36"/>
        <v>0</v>
      </c>
      <c r="P188" s="10">
        <f t="shared" si="36"/>
        <v>0</v>
      </c>
      <c r="Q188" s="10">
        <f t="shared" si="36"/>
        <v>0</v>
      </c>
      <c r="R188" s="10">
        <f t="shared" si="36"/>
        <v>5776</v>
      </c>
    </row>
    <row r="189" spans="1:18" x14ac:dyDescent="0.2">
      <c r="A189" s="8"/>
      <c r="B189" s="14"/>
      <c r="C189" s="8" t="s">
        <v>29</v>
      </c>
      <c r="D189" s="8"/>
      <c r="E189" s="69"/>
      <c r="F189" s="10">
        <f t="shared" ref="F189:R189" si="37">MAX(F144:F185)</f>
        <v>426202</v>
      </c>
      <c r="G189" s="10">
        <f t="shared" si="37"/>
        <v>155045</v>
      </c>
      <c r="H189" s="10">
        <f t="shared" si="37"/>
        <v>3.334778767076735</v>
      </c>
      <c r="I189" s="10">
        <f t="shared" si="37"/>
        <v>4567.2</v>
      </c>
      <c r="J189" s="10">
        <f t="shared" si="37"/>
        <v>8662.6</v>
      </c>
      <c r="K189" s="10">
        <f t="shared" si="37"/>
        <v>787.1</v>
      </c>
      <c r="L189" s="10">
        <f t="shared" si="37"/>
        <v>0</v>
      </c>
      <c r="M189" s="10">
        <f t="shared" si="37"/>
        <v>135954</v>
      </c>
      <c r="N189" s="10">
        <f t="shared" si="37"/>
        <v>163547</v>
      </c>
      <c r="O189" s="10">
        <f t="shared" si="37"/>
        <v>134954</v>
      </c>
      <c r="P189" s="10">
        <f t="shared" si="37"/>
        <v>87152</v>
      </c>
      <c r="Q189" s="10">
        <f t="shared" si="37"/>
        <v>155045</v>
      </c>
      <c r="R189" s="10">
        <f t="shared" si="37"/>
        <v>155045</v>
      </c>
    </row>
    <row r="190" spans="1:18" x14ac:dyDescent="0.2">
      <c r="A190" s="8"/>
      <c r="B190" s="14"/>
      <c r="C190" s="8" t="s">
        <v>30</v>
      </c>
      <c r="D190" s="8"/>
      <c r="E190" s="69"/>
      <c r="F190" s="10">
        <f t="shared" ref="F190:R190" si="38">AVERAGE(F144:F185)</f>
        <v>153192.83333333334</v>
      </c>
      <c r="G190" s="10">
        <f t="shared" si="38"/>
        <v>61106.619047619046</v>
      </c>
      <c r="H190" s="10">
        <f t="shared" si="38"/>
        <v>2.4923925326656082</v>
      </c>
      <c r="I190" s="10">
        <f t="shared" si="38"/>
        <v>489.17142857142858</v>
      </c>
      <c r="J190" s="10">
        <f t="shared" si="38"/>
        <v>2349.5880952380953</v>
      </c>
      <c r="K190" s="10">
        <f t="shared" si="38"/>
        <v>534.10595238095243</v>
      </c>
      <c r="L190" s="10">
        <f t="shared" si="38"/>
        <v>0</v>
      </c>
      <c r="M190" s="10">
        <f t="shared" si="38"/>
        <v>55535.261904761908</v>
      </c>
      <c r="N190" s="10">
        <f t="shared" si="38"/>
        <v>55082.804878048781</v>
      </c>
      <c r="O190" s="10">
        <f t="shared" si="38"/>
        <v>29069.928571428572</v>
      </c>
      <c r="P190" s="10">
        <f t="shared" si="38"/>
        <v>8624.9047619047615</v>
      </c>
      <c r="Q190" s="10">
        <f t="shared" si="38"/>
        <v>60420.428571428572</v>
      </c>
      <c r="R190" s="10">
        <f t="shared" si="38"/>
        <v>61115.904761904763</v>
      </c>
    </row>
    <row r="191" spans="1:18" ht="13.5" thickBot="1" x14ac:dyDescent="0.25">
      <c r="A191" s="16"/>
      <c r="B191" s="17"/>
      <c r="C191" s="16" t="s">
        <v>31</v>
      </c>
      <c r="D191" s="16"/>
      <c r="E191" s="69"/>
      <c r="F191" s="18">
        <f t="shared" ref="F191:R191" si="39">MEDIAN(F144:F185)</f>
        <v>138778</v>
      </c>
      <c r="G191" s="18">
        <f t="shared" si="39"/>
        <v>57635</v>
      </c>
      <c r="H191" s="18">
        <f t="shared" si="39"/>
        <v>2.462205605825428</v>
      </c>
      <c r="I191" s="18">
        <f t="shared" si="39"/>
        <v>128.80000000000001</v>
      </c>
      <c r="J191" s="18">
        <f t="shared" si="39"/>
        <v>1635.6</v>
      </c>
      <c r="K191" s="18">
        <f t="shared" si="39"/>
        <v>523.505</v>
      </c>
      <c r="L191" s="18">
        <f t="shared" si="39"/>
        <v>0</v>
      </c>
      <c r="M191" s="18">
        <f t="shared" si="39"/>
        <v>53272.5</v>
      </c>
      <c r="N191" s="18">
        <f t="shared" si="39"/>
        <v>47714</v>
      </c>
      <c r="O191" s="18">
        <f t="shared" si="39"/>
        <v>18708</v>
      </c>
      <c r="P191" s="18">
        <f t="shared" si="39"/>
        <v>0</v>
      </c>
      <c r="Q191" s="18">
        <f t="shared" si="39"/>
        <v>57635</v>
      </c>
      <c r="R191" s="18">
        <f t="shared" si="39"/>
        <v>57635</v>
      </c>
    </row>
    <row r="192" spans="1:18" ht="13.5" thickTop="1" x14ac:dyDescent="0.2">
      <c r="B192" s="42" t="s">
        <v>25</v>
      </c>
      <c r="F192"/>
      <c r="G192"/>
      <c r="H192"/>
      <c r="I192"/>
      <c r="J192"/>
      <c r="K192"/>
      <c r="M192" s="563">
        <f>M187/G187</f>
        <v>0.90882563575452424</v>
      </c>
    </row>
    <row r="193" spans="1:18" x14ac:dyDescent="0.2">
      <c r="B193" s="42"/>
    </row>
    <row r="195" spans="1:18" ht="15.75" x14ac:dyDescent="0.25">
      <c r="B195" s="74" t="s">
        <v>460</v>
      </c>
      <c r="C195" s="75" t="s">
        <v>454</v>
      </c>
      <c r="D195" s="75"/>
      <c r="E195" s="76"/>
      <c r="F195" s="46"/>
      <c r="G195" s="46"/>
      <c r="H195" s="46"/>
      <c r="I195" s="46"/>
      <c r="J195" s="46"/>
      <c r="K195" s="46"/>
    </row>
    <row r="196" spans="1:18" x14ac:dyDescent="0.2">
      <c r="A196" s="8">
        <v>10250</v>
      </c>
      <c r="B196" s="77" t="str">
        <f t="shared" ref="B196:B214" si="40">VLOOKUP($A196,$A$5:$K$132,2,FALSE)</f>
        <v>Ballina</v>
      </c>
      <c r="C196" s="9" t="str">
        <f t="shared" ref="C196:C214" si="41">VLOOKUP($A196,$A$5:$K$133,3,FALSE)</f>
        <v>NEWF</v>
      </c>
      <c r="D196" s="45" t="str">
        <f t="shared" ref="D196:D214" si="42">VLOOKUP($A196,$A$5:$K$133,4,FALSE)</f>
        <v>R</v>
      </c>
      <c r="E196" s="10" t="str">
        <f t="shared" ref="E196:E214" si="43">VLOOKUP($A196,$A$5:$R$132,5,FALSE)</f>
        <v>NRJO</v>
      </c>
      <c r="F196" s="10">
        <f t="shared" ref="F196:F214" si="44">VLOOKUP($A196,$A$5:$R$132,6,FALSE)</f>
        <v>47279</v>
      </c>
      <c r="G196" s="10">
        <f t="shared" ref="G196:G214" si="45">VLOOKUP($A196,$A$5:$R$132,7,FALSE)</f>
        <v>20986</v>
      </c>
      <c r="H196" s="10">
        <f t="shared" ref="H196:H214" si="46">VLOOKUP($A196,$A$5:$R$132,8,FALSE)</f>
        <v>2.2528828742971503</v>
      </c>
      <c r="I196" s="10">
        <f t="shared" ref="I196:I214" si="47">VLOOKUP($A196,$A$5:$R$132,9,FALSE)</f>
        <v>485</v>
      </c>
      <c r="J196" s="10">
        <f t="shared" ref="J196:J214" si="48">VLOOKUP($A196,$A$5:$R$132,10,FALSE)</f>
        <v>97.5</v>
      </c>
      <c r="K196" s="10">
        <f t="shared" ref="K196:K214" si="49">VLOOKUP($A196,$A$5:$R$132,11,FALSE)</f>
        <v>437</v>
      </c>
      <c r="L196" s="10">
        <f t="shared" ref="L196:L214" si="50">VLOOKUP($A196,$A$4:$R$132,12,FALSE)</f>
        <v>0</v>
      </c>
      <c r="M196" s="10">
        <f t="shared" ref="M196:M214" si="51">VLOOKUP($A196,$A$4:$R$132,13,FALSE)</f>
        <v>17823</v>
      </c>
      <c r="N196" s="10">
        <f t="shared" ref="N196:N214" si="52">VLOOKUP($A196,$A$4:$R$132,14,FALSE)</f>
        <v>16902</v>
      </c>
      <c r="O196" s="10">
        <f t="shared" ref="O196:O214" si="53">VLOOKUP($A196,$A$4:$R$132,15,FALSE)</f>
        <v>0</v>
      </c>
      <c r="P196" s="10">
        <f t="shared" ref="P196:P214" si="54">VLOOKUP($A196,$A$4:$R$132,16,FALSE)</f>
        <v>14395</v>
      </c>
      <c r="Q196" s="10">
        <f t="shared" ref="Q196:Q214" si="55">VLOOKUP($A196,$A$4:$R$132,17,FALSE)</f>
        <v>0</v>
      </c>
      <c r="R196" s="10">
        <f t="shared" ref="R196:R214" si="56">VLOOKUP($A196,$A$4:$R$132,18,FALSE)</f>
        <v>20986</v>
      </c>
    </row>
    <row r="197" spans="1:18" x14ac:dyDescent="0.2">
      <c r="A197" s="8">
        <v>10600</v>
      </c>
      <c r="B197" s="77" t="str">
        <f t="shared" si="40"/>
        <v>Bellingen</v>
      </c>
      <c r="C197" s="9" t="str">
        <f t="shared" si="41"/>
        <v>MidWaste</v>
      </c>
      <c r="D197" s="45" t="str">
        <f t="shared" si="42"/>
        <v>R</v>
      </c>
      <c r="E197" s="10" t="str">
        <f t="shared" si="43"/>
        <v>MNCJO</v>
      </c>
      <c r="F197" s="10">
        <f t="shared" si="44"/>
        <v>13231</v>
      </c>
      <c r="G197" s="10">
        <f t="shared" si="45"/>
        <v>6366</v>
      </c>
      <c r="H197" s="10">
        <f t="shared" si="46"/>
        <v>2.0783851712221173</v>
      </c>
      <c r="I197" s="10">
        <f t="shared" si="47"/>
        <v>1600.4</v>
      </c>
      <c r="J197" s="10">
        <f t="shared" si="48"/>
        <v>8.3000000000000007</v>
      </c>
      <c r="K197" s="10">
        <f t="shared" si="49"/>
        <v>802</v>
      </c>
      <c r="L197" s="10">
        <f t="shared" si="50"/>
        <v>0</v>
      </c>
      <c r="M197" s="10">
        <f t="shared" si="51"/>
        <v>8240</v>
      </c>
      <c r="N197" s="10">
        <f t="shared" si="52"/>
        <v>4120</v>
      </c>
      <c r="O197" s="10">
        <f t="shared" si="53"/>
        <v>0</v>
      </c>
      <c r="P197" s="10">
        <f t="shared" si="54"/>
        <v>4120</v>
      </c>
      <c r="Q197" s="10">
        <f t="shared" si="55"/>
        <v>6366</v>
      </c>
      <c r="R197" s="10">
        <f t="shared" si="56"/>
        <v>6366</v>
      </c>
    </row>
    <row r="198" spans="1:18" x14ac:dyDescent="0.2">
      <c r="A198" s="8">
        <v>10900</v>
      </c>
      <c r="B198" s="77" t="str">
        <f t="shared" si="40"/>
        <v>Blue Mountains</v>
      </c>
      <c r="C198" s="9" t="str">
        <f t="shared" si="41"/>
        <v>WSROC</v>
      </c>
      <c r="D198" s="45" t="str">
        <f t="shared" si="42"/>
        <v>R</v>
      </c>
      <c r="E198" s="10">
        <f t="shared" si="43"/>
        <v>0</v>
      </c>
      <c r="F198" s="10">
        <f t="shared" si="44"/>
        <v>78446</v>
      </c>
      <c r="G198" s="10">
        <f t="shared" si="45"/>
        <v>36451</v>
      </c>
      <c r="H198" s="10">
        <f t="shared" si="46"/>
        <v>2.1520945927409398</v>
      </c>
      <c r="I198" s="10">
        <f t="shared" si="47"/>
        <v>1431.1</v>
      </c>
      <c r="J198" s="10">
        <f t="shared" si="48"/>
        <v>54.8</v>
      </c>
      <c r="K198" s="10">
        <f t="shared" si="49"/>
        <v>496</v>
      </c>
      <c r="L198" s="10">
        <f t="shared" si="50"/>
        <v>0</v>
      </c>
      <c r="M198" s="10">
        <f t="shared" si="51"/>
        <v>33929</v>
      </c>
      <c r="N198" s="10">
        <f t="shared" si="52"/>
        <v>33725</v>
      </c>
      <c r="O198" s="10">
        <f t="shared" si="53"/>
        <v>101145</v>
      </c>
      <c r="P198" s="10">
        <f t="shared" si="54"/>
        <v>0</v>
      </c>
      <c r="Q198" s="10">
        <f t="shared" si="55"/>
        <v>36451</v>
      </c>
      <c r="R198" s="10">
        <f t="shared" si="56"/>
        <v>36451</v>
      </c>
    </row>
    <row r="199" spans="1:18" x14ac:dyDescent="0.2">
      <c r="A199" s="8">
        <v>11350</v>
      </c>
      <c r="B199" s="77" t="str">
        <f t="shared" si="40"/>
        <v>Byron</v>
      </c>
      <c r="C199" s="9" t="str">
        <f t="shared" si="41"/>
        <v>NEWF</v>
      </c>
      <c r="D199" s="45" t="str">
        <f t="shared" si="42"/>
        <v>R</v>
      </c>
      <c r="E199" s="10" t="str">
        <f t="shared" si="43"/>
        <v>NRJO</v>
      </c>
      <c r="F199" s="10">
        <f t="shared" si="44"/>
        <v>37126</v>
      </c>
      <c r="G199" s="10">
        <f t="shared" si="45"/>
        <v>14717</v>
      </c>
      <c r="H199" s="10">
        <f t="shared" si="46"/>
        <v>2.5226608683835021</v>
      </c>
      <c r="I199" s="10">
        <f t="shared" si="47"/>
        <v>565.79999999999995</v>
      </c>
      <c r="J199" s="10">
        <f t="shared" si="48"/>
        <v>65.599999999999994</v>
      </c>
      <c r="K199" s="10">
        <f t="shared" si="49"/>
        <v>533</v>
      </c>
      <c r="L199" s="10">
        <f t="shared" si="50"/>
        <v>0</v>
      </c>
      <c r="M199" s="10">
        <f t="shared" si="51"/>
        <v>15120</v>
      </c>
      <c r="N199" s="10">
        <f t="shared" si="52"/>
        <v>14343</v>
      </c>
      <c r="O199" s="10">
        <f t="shared" si="53"/>
        <v>0</v>
      </c>
      <c r="P199" s="10">
        <f t="shared" si="54"/>
        <v>11625</v>
      </c>
      <c r="Q199" s="10">
        <f t="shared" si="55"/>
        <v>14717</v>
      </c>
      <c r="R199" s="10">
        <f t="shared" si="56"/>
        <v>14717</v>
      </c>
    </row>
    <row r="200" spans="1:18" x14ac:dyDescent="0.2">
      <c r="A200" s="8">
        <v>11730</v>
      </c>
      <c r="B200" s="77" t="str">
        <f t="shared" si="40"/>
        <v>Clarence Valley</v>
      </c>
      <c r="C200" s="9" t="str">
        <f t="shared" si="41"/>
        <v>NEWF</v>
      </c>
      <c r="D200" s="45" t="str">
        <f t="shared" si="42"/>
        <v>R</v>
      </c>
      <c r="E200" s="10">
        <f t="shared" si="43"/>
        <v>0</v>
      </c>
      <c r="F200" s="10">
        <f t="shared" si="44"/>
        <v>55323</v>
      </c>
      <c r="G200" s="10">
        <f t="shared" si="45"/>
        <v>27381</v>
      </c>
      <c r="H200" s="10">
        <f t="shared" si="46"/>
        <v>2.0204886600197218</v>
      </c>
      <c r="I200" s="10">
        <f t="shared" si="47"/>
        <v>10428.700000000001</v>
      </c>
      <c r="J200" s="10">
        <f t="shared" si="48"/>
        <v>5.3</v>
      </c>
      <c r="K200" s="10">
        <f t="shared" si="49"/>
        <v>375</v>
      </c>
      <c r="L200" s="10">
        <f t="shared" si="50"/>
        <v>0</v>
      </c>
      <c r="M200" s="10">
        <f t="shared" si="51"/>
        <v>23311</v>
      </c>
      <c r="N200" s="10">
        <f t="shared" si="52"/>
        <v>22895</v>
      </c>
      <c r="O200" s="10">
        <f t="shared" si="53"/>
        <v>0</v>
      </c>
      <c r="P200" s="10">
        <f t="shared" si="54"/>
        <v>18646</v>
      </c>
      <c r="Q200" s="10">
        <f t="shared" si="55"/>
        <v>0</v>
      </c>
      <c r="R200" s="10">
        <f t="shared" si="56"/>
        <v>27381</v>
      </c>
    </row>
    <row r="201" spans="1:18" x14ac:dyDescent="0.2">
      <c r="A201" s="8">
        <v>11800</v>
      </c>
      <c r="B201" s="77" t="str">
        <f t="shared" si="40"/>
        <v>Coffs Harbour</v>
      </c>
      <c r="C201" s="9" t="str">
        <f t="shared" si="41"/>
        <v>MidWaste</v>
      </c>
      <c r="D201" s="45" t="str">
        <f t="shared" si="42"/>
        <v>R</v>
      </c>
      <c r="E201" s="10">
        <f t="shared" si="43"/>
        <v>0</v>
      </c>
      <c r="F201" s="10">
        <f t="shared" si="44"/>
        <v>80489</v>
      </c>
      <c r="G201" s="10">
        <f t="shared" si="45"/>
        <v>33891</v>
      </c>
      <c r="H201" s="10">
        <f t="shared" si="46"/>
        <v>2.3749372989879318</v>
      </c>
      <c r="I201" s="10">
        <f t="shared" si="47"/>
        <v>1173.7</v>
      </c>
      <c r="J201" s="10">
        <f t="shared" si="48"/>
        <v>68.599999999999994</v>
      </c>
      <c r="K201" s="10">
        <f t="shared" si="49"/>
        <v>702.5</v>
      </c>
      <c r="L201" s="10">
        <f t="shared" si="50"/>
        <v>0</v>
      </c>
      <c r="M201" s="10">
        <f t="shared" si="51"/>
        <v>31557</v>
      </c>
      <c r="N201" s="10">
        <f t="shared" si="52"/>
        <v>28375</v>
      </c>
      <c r="O201" s="10">
        <f t="shared" si="53"/>
        <v>0</v>
      </c>
      <c r="P201" s="10">
        <f t="shared" si="54"/>
        <v>28375</v>
      </c>
      <c r="Q201" s="10">
        <f t="shared" si="55"/>
        <v>33891</v>
      </c>
      <c r="R201" s="10">
        <f t="shared" si="56"/>
        <v>33891</v>
      </c>
    </row>
    <row r="202" spans="1:18" x14ac:dyDescent="0.2">
      <c r="A202" s="8">
        <v>12700</v>
      </c>
      <c r="B202" s="77" t="str">
        <f t="shared" si="40"/>
        <v>Dungog</v>
      </c>
      <c r="C202" s="9" t="str">
        <f t="shared" si="41"/>
        <v>Hunter</v>
      </c>
      <c r="D202" s="45" t="str">
        <f t="shared" si="42"/>
        <v>R</v>
      </c>
      <c r="E202" s="10" t="str">
        <f t="shared" si="43"/>
        <v>HJO</v>
      </c>
      <c r="F202" s="10">
        <f t="shared" si="44"/>
        <v>9767</v>
      </c>
      <c r="G202" s="10">
        <f t="shared" si="45"/>
        <v>5441</v>
      </c>
      <c r="H202" s="10">
        <f t="shared" si="46"/>
        <v>1.7950744348465355</v>
      </c>
      <c r="I202" s="10">
        <f t="shared" si="47"/>
        <v>2250</v>
      </c>
      <c r="J202" s="10">
        <f t="shared" si="48"/>
        <v>4.3</v>
      </c>
      <c r="K202" s="10">
        <f t="shared" si="49"/>
        <v>0</v>
      </c>
      <c r="L202" s="10">
        <f t="shared" si="50"/>
        <v>0</v>
      </c>
      <c r="M202" s="10">
        <f t="shared" si="51"/>
        <v>3911</v>
      </c>
      <c r="N202" s="10">
        <f t="shared" si="52"/>
        <v>3884</v>
      </c>
      <c r="O202" s="10">
        <f t="shared" si="53"/>
        <v>0</v>
      </c>
      <c r="P202" s="10">
        <f t="shared" si="54"/>
        <v>0</v>
      </c>
      <c r="Q202" s="10">
        <f t="shared" si="55"/>
        <v>5441</v>
      </c>
      <c r="R202" s="10">
        <f t="shared" si="56"/>
        <v>5441</v>
      </c>
    </row>
    <row r="203" spans="1:18" x14ac:dyDescent="0.2">
      <c r="A203" s="8">
        <v>14350</v>
      </c>
      <c r="B203" s="77" t="str">
        <f t="shared" si="40"/>
        <v>Kempsey</v>
      </c>
      <c r="C203" s="9" t="str">
        <f t="shared" si="41"/>
        <v>MidWaste</v>
      </c>
      <c r="D203" s="45" t="str">
        <f t="shared" si="42"/>
        <v>R</v>
      </c>
      <c r="E203" s="10" t="str">
        <f t="shared" si="43"/>
        <v>MNCJO</v>
      </c>
      <c r="F203" s="10">
        <f t="shared" si="44"/>
        <v>31453</v>
      </c>
      <c r="G203" s="10">
        <f t="shared" si="45"/>
        <v>16184</v>
      </c>
      <c r="H203" s="10">
        <f t="shared" si="46"/>
        <v>1.9434626791893228</v>
      </c>
      <c r="I203" s="10">
        <f t="shared" si="47"/>
        <v>3375.7</v>
      </c>
      <c r="J203" s="10">
        <f t="shared" si="48"/>
        <v>9.3000000000000007</v>
      </c>
      <c r="K203" s="10">
        <f t="shared" si="49"/>
        <v>485</v>
      </c>
      <c r="L203" s="10">
        <f t="shared" si="50"/>
        <v>0</v>
      </c>
      <c r="M203" s="10">
        <f t="shared" si="51"/>
        <v>12088</v>
      </c>
      <c r="N203" s="10">
        <f t="shared" si="52"/>
        <v>11040</v>
      </c>
      <c r="O203" s="10">
        <f t="shared" si="53"/>
        <v>0</v>
      </c>
      <c r="P203" s="10">
        <f t="shared" si="54"/>
        <v>11040</v>
      </c>
      <c r="Q203" s="10">
        <f t="shared" si="55"/>
        <v>0</v>
      </c>
      <c r="R203" s="10">
        <f t="shared" si="56"/>
        <v>16184</v>
      </c>
    </row>
    <row r="204" spans="1:18" x14ac:dyDescent="0.2">
      <c r="A204" s="8">
        <v>14550</v>
      </c>
      <c r="B204" s="77" t="str">
        <f t="shared" si="40"/>
        <v>Kyogle</v>
      </c>
      <c r="C204" s="9" t="str">
        <f t="shared" si="41"/>
        <v>NEWF</v>
      </c>
      <c r="D204" s="45" t="str">
        <f t="shared" si="42"/>
        <v>R</v>
      </c>
      <c r="E204" s="10" t="str">
        <f t="shared" si="43"/>
        <v>NRJO</v>
      </c>
      <c r="F204" s="10">
        <f t="shared" si="44"/>
        <v>9468</v>
      </c>
      <c r="G204" s="10">
        <f t="shared" si="45"/>
        <v>6094</v>
      </c>
      <c r="H204" s="10">
        <f t="shared" si="46"/>
        <v>1.5536593370528389</v>
      </c>
      <c r="I204" s="10">
        <f t="shared" si="47"/>
        <v>3584.2</v>
      </c>
      <c r="J204" s="10">
        <f t="shared" si="48"/>
        <v>2.6</v>
      </c>
      <c r="K204" s="10">
        <f t="shared" si="49"/>
        <v>482</v>
      </c>
      <c r="L204" s="10">
        <f t="shared" si="50"/>
        <v>0</v>
      </c>
      <c r="M204" s="10">
        <f t="shared" si="51"/>
        <v>2096</v>
      </c>
      <c r="N204" s="10">
        <f t="shared" si="52"/>
        <v>2096</v>
      </c>
      <c r="O204" s="10">
        <f t="shared" si="53"/>
        <v>0</v>
      </c>
      <c r="P204" s="10">
        <f t="shared" si="54"/>
        <v>0</v>
      </c>
      <c r="Q204" s="10">
        <f t="shared" si="55"/>
        <v>0</v>
      </c>
      <c r="R204" s="10">
        <f t="shared" si="56"/>
        <v>6094</v>
      </c>
    </row>
    <row r="205" spans="1:18" x14ac:dyDescent="0.2">
      <c r="A205" s="8">
        <v>14850</v>
      </c>
      <c r="B205" s="77" t="str">
        <f t="shared" si="40"/>
        <v>Lismore</v>
      </c>
      <c r="C205" s="9" t="str">
        <f t="shared" si="41"/>
        <v>NEWF</v>
      </c>
      <c r="D205" s="45" t="str">
        <f t="shared" si="42"/>
        <v>R</v>
      </c>
      <c r="E205" s="10" t="str">
        <f t="shared" si="43"/>
        <v>NRJO</v>
      </c>
      <c r="F205" s="10">
        <f t="shared" si="44"/>
        <v>43907</v>
      </c>
      <c r="G205" s="10">
        <f t="shared" si="45"/>
        <v>18475</v>
      </c>
      <c r="H205" s="10">
        <f t="shared" si="46"/>
        <v>2.3765629228687417</v>
      </c>
      <c r="I205" s="10">
        <f t="shared" si="47"/>
        <v>1287.7</v>
      </c>
      <c r="J205" s="10">
        <f t="shared" si="48"/>
        <v>34.1</v>
      </c>
      <c r="K205" s="10">
        <f t="shared" si="49"/>
        <v>327.3</v>
      </c>
      <c r="L205" s="10">
        <f t="shared" si="50"/>
        <v>0</v>
      </c>
      <c r="M205" s="10">
        <f t="shared" si="51"/>
        <v>14325</v>
      </c>
      <c r="N205" s="10">
        <f t="shared" si="52"/>
        <v>15662</v>
      </c>
      <c r="O205" s="10">
        <f t="shared" si="53"/>
        <v>0</v>
      </c>
      <c r="P205" s="10">
        <f t="shared" si="54"/>
        <v>13014</v>
      </c>
      <c r="Q205" s="10">
        <f t="shared" si="55"/>
        <v>0</v>
      </c>
      <c r="R205" s="10">
        <f t="shared" si="56"/>
        <v>18475</v>
      </c>
    </row>
    <row r="206" spans="1:18" x14ac:dyDescent="0.2">
      <c r="A206" s="8">
        <v>15240</v>
      </c>
      <c r="B206" s="77" t="str">
        <f t="shared" si="40"/>
        <v>Mid-Coast</v>
      </c>
      <c r="C206" s="9" t="str">
        <f t="shared" si="41"/>
        <v>MidWaste</v>
      </c>
      <c r="D206" s="45" t="str">
        <f t="shared" si="42"/>
        <v>R</v>
      </c>
      <c r="E206" s="10" t="str">
        <f t="shared" si="43"/>
        <v>HJO</v>
      </c>
      <c r="F206" s="10">
        <f t="shared" si="44"/>
        <v>97909</v>
      </c>
      <c r="G206" s="10">
        <f t="shared" si="45"/>
        <v>50350</v>
      </c>
      <c r="H206" s="10">
        <f t="shared" si="46"/>
        <v>1.9445680238331677</v>
      </c>
      <c r="I206" s="10">
        <f t="shared" si="47"/>
        <v>10053.9</v>
      </c>
      <c r="J206" s="10">
        <f t="shared" si="48"/>
        <v>9.6999999999999993</v>
      </c>
      <c r="K206" s="10">
        <f t="shared" si="49"/>
        <v>393</v>
      </c>
      <c r="L206" s="10">
        <f t="shared" si="50"/>
        <v>0</v>
      </c>
      <c r="M206" s="10">
        <f t="shared" si="51"/>
        <v>46664</v>
      </c>
      <c r="N206" s="10">
        <f t="shared" si="52"/>
        <v>46156</v>
      </c>
      <c r="O206" s="10">
        <f t="shared" si="53"/>
        <v>38850</v>
      </c>
      <c r="P206" s="10">
        <f t="shared" si="54"/>
        <v>0</v>
      </c>
      <c r="Q206" s="10">
        <f t="shared" si="55"/>
        <v>50350</v>
      </c>
      <c r="R206" s="10">
        <f t="shared" si="56"/>
        <v>50350</v>
      </c>
    </row>
    <row r="207" spans="1:18" x14ac:dyDescent="0.2">
      <c r="A207" s="8">
        <v>15650</v>
      </c>
      <c r="B207" s="77" t="str">
        <f t="shared" si="40"/>
        <v>Muswellbrook</v>
      </c>
      <c r="C207" s="9" t="str">
        <f t="shared" si="41"/>
        <v>Hunter</v>
      </c>
      <c r="D207" s="45" t="str">
        <f t="shared" si="42"/>
        <v>R</v>
      </c>
      <c r="E207" s="10" t="str">
        <f t="shared" si="43"/>
        <v>HJO</v>
      </c>
      <c r="F207" s="10">
        <f t="shared" si="44"/>
        <v>16778</v>
      </c>
      <c r="G207" s="10">
        <f t="shared" si="45"/>
        <v>8235</v>
      </c>
      <c r="H207" s="10">
        <f t="shared" si="46"/>
        <v>2.0374013357619916</v>
      </c>
      <c r="I207" s="10">
        <f t="shared" si="47"/>
        <v>3404.9</v>
      </c>
      <c r="J207" s="10">
        <f t="shared" si="48"/>
        <v>4.9000000000000004</v>
      </c>
      <c r="K207" s="10">
        <f t="shared" si="49"/>
        <v>438</v>
      </c>
      <c r="L207" s="10">
        <f t="shared" si="50"/>
        <v>0</v>
      </c>
      <c r="M207" s="10">
        <f t="shared" si="51"/>
        <v>7142</v>
      </c>
      <c r="N207" s="10">
        <f t="shared" si="52"/>
        <v>6473</v>
      </c>
      <c r="O207" s="10">
        <f t="shared" si="53"/>
        <v>6048</v>
      </c>
      <c r="P207" s="10">
        <f t="shared" si="54"/>
        <v>0</v>
      </c>
      <c r="Q207" s="10">
        <f t="shared" si="55"/>
        <v>8235</v>
      </c>
      <c r="R207" s="10">
        <f t="shared" si="56"/>
        <v>8235</v>
      </c>
    </row>
    <row r="208" spans="1:18" x14ac:dyDescent="0.2">
      <c r="A208" s="8">
        <v>15700</v>
      </c>
      <c r="B208" s="77" t="str">
        <f t="shared" si="40"/>
        <v>Nambucca</v>
      </c>
      <c r="C208" s="9" t="str">
        <f t="shared" si="41"/>
        <v>MidWaste</v>
      </c>
      <c r="D208" s="45" t="str">
        <f t="shared" si="42"/>
        <v>R</v>
      </c>
      <c r="E208" s="10">
        <f t="shared" si="43"/>
        <v>0</v>
      </c>
      <c r="F208" s="10">
        <f t="shared" si="44"/>
        <v>20774</v>
      </c>
      <c r="G208" s="10">
        <f t="shared" si="45"/>
        <v>10914</v>
      </c>
      <c r="H208" s="10">
        <f t="shared" si="46"/>
        <v>1.9034267912772587</v>
      </c>
      <c r="I208" s="10">
        <f t="shared" si="47"/>
        <v>1491.3</v>
      </c>
      <c r="J208" s="10">
        <f t="shared" si="48"/>
        <v>13.9</v>
      </c>
      <c r="K208" s="10">
        <f t="shared" si="49"/>
        <v>611</v>
      </c>
      <c r="L208" s="10">
        <f t="shared" si="50"/>
        <v>0</v>
      </c>
      <c r="M208" s="10">
        <f t="shared" si="51"/>
        <v>7740</v>
      </c>
      <c r="N208" s="10">
        <f t="shared" si="52"/>
        <v>7740</v>
      </c>
      <c r="O208" s="10">
        <f t="shared" si="53"/>
        <v>0</v>
      </c>
      <c r="P208" s="10">
        <f t="shared" si="54"/>
        <v>7740</v>
      </c>
      <c r="Q208" s="10">
        <f t="shared" si="55"/>
        <v>10914</v>
      </c>
      <c r="R208" s="10">
        <f t="shared" si="56"/>
        <v>10914</v>
      </c>
    </row>
    <row r="209" spans="1:18" x14ac:dyDescent="0.2">
      <c r="A209" s="8">
        <v>16380</v>
      </c>
      <c r="B209" s="77" t="str">
        <f t="shared" si="40"/>
        <v>Port Macquarie-Hastings</v>
      </c>
      <c r="C209" s="9" t="str">
        <f t="shared" si="41"/>
        <v>MidWaste</v>
      </c>
      <c r="D209" s="45" t="str">
        <f t="shared" si="42"/>
        <v>R</v>
      </c>
      <c r="E209" s="10" t="str">
        <f t="shared" si="43"/>
        <v>MNCJO</v>
      </c>
      <c r="F209" s="10">
        <f t="shared" si="44"/>
        <v>89596</v>
      </c>
      <c r="G209" s="10">
        <f t="shared" si="45"/>
        <v>40996</v>
      </c>
      <c r="H209" s="10">
        <f t="shared" si="46"/>
        <v>2.1854815103912575</v>
      </c>
      <c r="I209" s="10">
        <f t="shared" si="47"/>
        <v>3682.4</v>
      </c>
      <c r="J209" s="10">
        <f t="shared" si="48"/>
        <v>24.3</v>
      </c>
      <c r="K209" s="10">
        <f t="shared" si="49"/>
        <v>524.27</v>
      </c>
      <c r="L209" s="10">
        <f t="shared" si="50"/>
        <v>0</v>
      </c>
      <c r="M209" s="10">
        <f t="shared" si="51"/>
        <v>31768</v>
      </c>
      <c r="N209" s="10">
        <f t="shared" si="52"/>
        <v>30984</v>
      </c>
      <c r="O209" s="10">
        <f t="shared" si="53"/>
        <v>0</v>
      </c>
      <c r="P209" s="10">
        <f t="shared" si="54"/>
        <v>30000</v>
      </c>
      <c r="Q209" s="10">
        <f t="shared" si="55"/>
        <v>40996</v>
      </c>
      <c r="R209" s="10">
        <f t="shared" si="56"/>
        <v>40996</v>
      </c>
    </row>
    <row r="210" spans="1:18" x14ac:dyDescent="0.2">
      <c r="A210" s="8">
        <v>16610</v>
      </c>
      <c r="B210" s="77" t="str">
        <f t="shared" si="40"/>
        <v>Richmond Valley</v>
      </c>
      <c r="C210" s="9" t="str">
        <f t="shared" si="41"/>
        <v>NEWF</v>
      </c>
      <c r="D210" s="45" t="str">
        <f t="shared" si="42"/>
        <v>R</v>
      </c>
      <c r="E210" s="10" t="str">
        <f t="shared" si="43"/>
        <v>NRJO</v>
      </c>
      <c r="F210" s="10">
        <f t="shared" si="44"/>
        <v>23705</v>
      </c>
      <c r="G210" s="10">
        <f t="shared" si="45"/>
        <v>10828</v>
      </c>
      <c r="H210" s="10">
        <f t="shared" si="46"/>
        <v>2.1892316217214627</v>
      </c>
      <c r="I210" s="10">
        <f t="shared" si="47"/>
        <v>3047.4</v>
      </c>
      <c r="J210" s="10">
        <f t="shared" si="48"/>
        <v>7.8</v>
      </c>
      <c r="K210" s="10">
        <f t="shared" si="49"/>
        <v>650</v>
      </c>
      <c r="L210" s="10">
        <f t="shared" si="50"/>
        <v>0</v>
      </c>
      <c r="M210" s="10">
        <f t="shared" si="51"/>
        <v>7700</v>
      </c>
      <c r="N210" s="10">
        <f t="shared" si="52"/>
        <v>7884</v>
      </c>
      <c r="O210" s="10">
        <f t="shared" si="53"/>
        <v>0</v>
      </c>
      <c r="P210" s="10">
        <f t="shared" si="54"/>
        <v>7729</v>
      </c>
      <c r="Q210" s="10">
        <f t="shared" si="55"/>
        <v>0</v>
      </c>
      <c r="R210" s="10">
        <f t="shared" si="56"/>
        <v>10828</v>
      </c>
    </row>
    <row r="211" spans="1:18" x14ac:dyDescent="0.2">
      <c r="A211" s="8">
        <v>17000</v>
      </c>
      <c r="B211" s="77" t="str">
        <f t="shared" si="40"/>
        <v>Singleton</v>
      </c>
      <c r="C211" s="9" t="str">
        <f t="shared" si="41"/>
        <v>Hunter</v>
      </c>
      <c r="D211" s="45" t="str">
        <f t="shared" si="42"/>
        <v>R</v>
      </c>
      <c r="E211" s="10" t="str">
        <f t="shared" si="43"/>
        <v>HJO</v>
      </c>
      <c r="F211" s="10">
        <f t="shared" si="44"/>
        <v>25332</v>
      </c>
      <c r="G211" s="10">
        <f t="shared" si="45"/>
        <v>11507</v>
      </c>
      <c r="H211" s="10">
        <f t="shared" si="46"/>
        <v>2.2014426001564265</v>
      </c>
      <c r="I211" s="10">
        <f t="shared" si="47"/>
        <v>4892.7</v>
      </c>
      <c r="J211" s="10">
        <f t="shared" si="48"/>
        <v>5.2</v>
      </c>
      <c r="K211" s="10">
        <f t="shared" si="49"/>
        <v>550</v>
      </c>
      <c r="L211" s="10">
        <f t="shared" si="50"/>
        <v>0</v>
      </c>
      <c r="M211" s="10">
        <f t="shared" si="51"/>
        <v>9412</v>
      </c>
      <c r="N211" s="10">
        <f t="shared" si="52"/>
        <v>8520</v>
      </c>
      <c r="O211" s="10">
        <f t="shared" si="53"/>
        <v>8254</v>
      </c>
      <c r="P211" s="10">
        <f t="shared" si="54"/>
        <v>0</v>
      </c>
      <c r="Q211" s="10">
        <f t="shared" si="55"/>
        <v>11507</v>
      </c>
      <c r="R211" s="10">
        <f t="shared" si="56"/>
        <v>11507</v>
      </c>
    </row>
    <row r="212" spans="1:18" x14ac:dyDescent="0.2">
      <c r="A212" s="8">
        <v>17550</v>
      </c>
      <c r="B212" s="77" t="str">
        <f t="shared" si="40"/>
        <v>Tweed</v>
      </c>
      <c r="C212" s="9" t="str">
        <f t="shared" si="41"/>
        <v>NEWF</v>
      </c>
      <c r="D212" s="45" t="str">
        <f t="shared" si="42"/>
        <v>R</v>
      </c>
      <c r="E212" s="10" t="str">
        <f t="shared" si="43"/>
        <v>NRJO</v>
      </c>
      <c r="F212" s="10">
        <f t="shared" si="44"/>
        <v>98967</v>
      </c>
      <c r="G212" s="10">
        <f t="shared" si="45"/>
        <v>49371</v>
      </c>
      <c r="H212" s="10">
        <f t="shared" si="46"/>
        <v>2.0045573312268337</v>
      </c>
      <c r="I212" s="10">
        <f t="shared" si="47"/>
        <v>1307.8</v>
      </c>
      <c r="J212" s="10">
        <f t="shared" si="48"/>
        <v>75.7</v>
      </c>
      <c r="K212" s="10">
        <f t="shared" si="49"/>
        <v>478</v>
      </c>
      <c r="L212" s="10">
        <f t="shared" si="50"/>
        <v>0</v>
      </c>
      <c r="M212" s="10">
        <f t="shared" si="51"/>
        <v>200</v>
      </c>
      <c r="N212" s="10">
        <f t="shared" si="52"/>
        <v>39200</v>
      </c>
      <c r="O212" s="10">
        <f t="shared" si="53"/>
        <v>0</v>
      </c>
      <c r="P212" s="10">
        <f t="shared" si="54"/>
        <v>26683</v>
      </c>
      <c r="Q212" s="10">
        <f t="shared" si="55"/>
        <v>49371</v>
      </c>
      <c r="R212" s="10">
        <f t="shared" si="56"/>
        <v>49371</v>
      </c>
    </row>
    <row r="213" spans="1:18" x14ac:dyDescent="0.2">
      <c r="A213" s="8">
        <v>17620</v>
      </c>
      <c r="B213" s="77" t="str">
        <f t="shared" si="40"/>
        <v>Upper Hunter Shire</v>
      </c>
      <c r="C213" s="9" t="str">
        <f t="shared" si="41"/>
        <v>Hunter</v>
      </c>
      <c r="D213" s="45" t="str">
        <f t="shared" si="42"/>
        <v>R</v>
      </c>
      <c r="E213" s="10" t="str">
        <f t="shared" si="43"/>
        <v>HJO</v>
      </c>
      <c r="F213" s="10">
        <f t="shared" si="44"/>
        <v>14338</v>
      </c>
      <c r="G213" s="10">
        <f t="shared" si="45"/>
        <v>6348</v>
      </c>
      <c r="H213" s="10">
        <f t="shared" si="46"/>
        <v>2.2586641461877757</v>
      </c>
      <c r="I213" s="10">
        <f t="shared" si="47"/>
        <v>8096.1</v>
      </c>
      <c r="J213" s="10">
        <f t="shared" si="48"/>
        <v>1.8</v>
      </c>
      <c r="K213" s="10">
        <f t="shared" si="49"/>
        <v>714</v>
      </c>
      <c r="L213" s="10">
        <f t="shared" si="50"/>
        <v>0</v>
      </c>
      <c r="M213" s="10">
        <f t="shared" si="51"/>
        <v>5135</v>
      </c>
      <c r="N213" s="10">
        <f t="shared" si="52"/>
        <v>4987</v>
      </c>
      <c r="O213" s="10">
        <f t="shared" si="53"/>
        <v>0</v>
      </c>
      <c r="P213" s="10">
        <f t="shared" si="54"/>
        <v>0</v>
      </c>
      <c r="Q213" s="10">
        <f t="shared" si="55"/>
        <v>6348</v>
      </c>
      <c r="R213" s="10">
        <f t="shared" si="56"/>
        <v>6348</v>
      </c>
    </row>
    <row r="214" spans="1:18" ht="13.5" thickBot="1" x14ac:dyDescent="0.25">
      <c r="A214" s="8">
        <v>18400</v>
      </c>
      <c r="B214" s="77" t="str">
        <f t="shared" si="40"/>
        <v>Wollondilly</v>
      </c>
      <c r="C214" s="9" t="str">
        <f t="shared" si="41"/>
        <v>MSWA</v>
      </c>
      <c r="D214" s="45" t="str">
        <f t="shared" si="42"/>
        <v>R</v>
      </c>
      <c r="E214" s="10">
        <f t="shared" si="43"/>
        <v>0</v>
      </c>
      <c r="F214" s="10">
        <f t="shared" si="44"/>
        <v>57616</v>
      </c>
      <c r="G214" s="10">
        <f t="shared" si="45"/>
        <v>22243</v>
      </c>
      <c r="H214" s="10">
        <f t="shared" si="46"/>
        <v>2.5902980713033315</v>
      </c>
      <c r="I214" s="10">
        <f t="shared" si="47"/>
        <v>2555.4</v>
      </c>
      <c r="J214" s="10">
        <f t="shared" si="48"/>
        <v>22.5</v>
      </c>
      <c r="K214" s="10">
        <f t="shared" si="49"/>
        <v>586.1</v>
      </c>
      <c r="L214" s="10">
        <f t="shared" si="50"/>
        <v>0</v>
      </c>
      <c r="M214" s="10">
        <f t="shared" si="51"/>
        <v>18964</v>
      </c>
      <c r="N214" s="10">
        <f t="shared" si="52"/>
        <v>18796</v>
      </c>
      <c r="O214" s="10">
        <f t="shared" si="53"/>
        <v>13204</v>
      </c>
      <c r="P214" s="10">
        <f t="shared" si="54"/>
        <v>0</v>
      </c>
      <c r="Q214" s="10">
        <f t="shared" si="55"/>
        <v>22243</v>
      </c>
      <c r="R214" s="10">
        <f t="shared" si="56"/>
        <v>22243</v>
      </c>
    </row>
    <row r="215" spans="1:18" ht="13.5" thickTop="1" x14ac:dyDescent="0.2">
      <c r="A215" s="11"/>
      <c r="B215" s="11"/>
      <c r="C215" s="11" t="s">
        <v>26</v>
      </c>
      <c r="D215" s="11"/>
      <c r="E215" s="12"/>
      <c r="F215" s="13">
        <f t="shared" ref="F215:R215" si="57">COUNTIF(F196:F214,"&gt;0")</f>
        <v>19</v>
      </c>
      <c r="G215" s="13">
        <f t="shared" si="57"/>
        <v>19</v>
      </c>
      <c r="H215" s="13">
        <f t="shared" si="57"/>
        <v>19</v>
      </c>
      <c r="I215" s="13">
        <f t="shared" si="57"/>
        <v>19</v>
      </c>
      <c r="J215" s="13">
        <f t="shared" si="57"/>
        <v>19</v>
      </c>
      <c r="K215" s="13">
        <f t="shared" si="57"/>
        <v>18</v>
      </c>
      <c r="L215" s="13">
        <f t="shared" si="57"/>
        <v>0</v>
      </c>
      <c r="M215" s="13">
        <f t="shared" si="57"/>
        <v>19</v>
      </c>
      <c r="N215" s="13">
        <f t="shared" si="57"/>
        <v>19</v>
      </c>
      <c r="O215" s="13">
        <f t="shared" si="57"/>
        <v>5</v>
      </c>
      <c r="P215" s="13">
        <f t="shared" si="57"/>
        <v>11</v>
      </c>
      <c r="Q215" s="13">
        <f t="shared" si="57"/>
        <v>13</v>
      </c>
      <c r="R215" s="13">
        <f t="shared" si="57"/>
        <v>19</v>
      </c>
    </row>
    <row r="216" spans="1:18" x14ac:dyDescent="0.2">
      <c r="A216" s="8"/>
      <c r="B216" s="14" t="s">
        <v>460</v>
      </c>
      <c r="C216" s="8" t="s">
        <v>27</v>
      </c>
      <c r="D216" s="8"/>
      <c r="E216" s="69"/>
      <c r="F216" s="15">
        <f t="shared" ref="F216:G216" si="58">SUM(F196:F214)</f>
        <v>851504</v>
      </c>
      <c r="G216" s="15">
        <f t="shared" si="58"/>
        <v>396778</v>
      </c>
      <c r="H216" s="93">
        <f>F216/G216</f>
        <v>2.1460464037824676</v>
      </c>
      <c r="I216" s="15">
        <f t="shared" ref="I216:R216" si="59">SUM(I196:I214)</f>
        <v>64714.200000000012</v>
      </c>
      <c r="J216" s="15">
        <f t="shared" si="59"/>
        <v>516.20000000000005</v>
      </c>
      <c r="K216" s="15">
        <f t="shared" si="59"/>
        <v>9584.17</v>
      </c>
      <c r="L216" s="15">
        <f t="shared" si="59"/>
        <v>0</v>
      </c>
      <c r="M216" s="15">
        <f t="shared" si="59"/>
        <v>297125</v>
      </c>
      <c r="N216" s="15">
        <f t="shared" si="59"/>
        <v>323782</v>
      </c>
      <c r="O216" s="15">
        <f t="shared" si="59"/>
        <v>167501</v>
      </c>
      <c r="P216" s="15">
        <f t="shared" si="59"/>
        <v>173367</v>
      </c>
      <c r="Q216" s="15">
        <f t="shared" si="59"/>
        <v>296830</v>
      </c>
      <c r="R216" s="15">
        <f t="shared" si="59"/>
        <v>396778</v>
      </c>
    </row>
    <row r="217" spans="1:18" x14ac:dyDescent="0.2">
      <c r="A217" s="8"/>
      <c r="B217" s="14"/>
      <c r="C217" s="8" t="s">
        <v>28</v>
      </c>
      <c r="D217" s="8"/>
      <c r="E217" s="69"/>
      <c r="F217" s="10">
        <f t="shared" ref="F217:R217" si="60">MIN(F196:F214)</f>
        <v>9468</v>
      </c>
      <c r="G217" s="10">
        <f t="shared" si="60"/>
        <v>5441</v>
      </c>
      <c r="H217" s="10">
        <f t="shared" si="60"/>
        <v>1.5536593370528389</v>
      </c>
      <c r="I217" s="10">
        <f t="shared" si="60"/>
        <v>485</v>
      </c>
      <c r="J217" s="10">
        <f t="shared" si="60"/>
        <v>1.8</v>
      </c>
      <c r="K217" s="10">
        <f t="shared" si="60"/>
        <v>0</v>
      </c>
      <c r="L217" s="10">
        <f t="shared" si="60"/>
        <v>0</v>
      </c>
      <c r="M217" s="10">
        <f t="shared" si="60"/>
        <v>200</v>
      </c>
      <c r="N217" s="10">
        <f t="shared" si="60"/>
        <v>2096</v>
      </c>
      <c r="O217" s="10">
        <f t="shared" si="60"/>
        <v>0</v>
      </c>
      <c r="P217" s="10">
        <f t="shared" si="60"/>
        <v>0</v>
      </c>
      <c r="Q217" s="10">
        <f t="shared" si="60"/>
        <v>0</v>
      </c>
      <c r="R217" s="10">
        <f t="shared" si="60"/>
        <v>5441</v>
      </c>
    </row>
    <row r="218" spans="1:18" x14ac:dyDescent="0.2">
      <c r="A218" s="8"/>
      <c r="B218" s="14"/>
      <c r="C218" s="8" t="s">
        <v>29</v>
      </c>
      <c r="D218" s="8"/>
      <c r="E218" s="69"/>
      <c r="F218" s="10">
        <f t="shared" ref="F218:R218" si="61">MAX(F196:F214)</f>
        <v>98967</v>
      </c>
      <c r="G218" s="10">
        <f t="shared" si="61"/>
        <v>50350</v>
      </c>
      <c r="H218" s="10">
        <f t="shared" si="61"/>
        <v>2.5902980713033315</v>
      </c>
      <c r="I218" s="10">
        <f t="shared" si="61"/>
        <v>10428.700000000001</v>
      </c>
      <c r="J218" s="10">
        <f t="shared" si="61"/>
        <v>97.5</v>
      </c>
      <c r="K218" s="10">
        <f t="shared" si="61"/>
        <v>802</v>
      </c>
      <c r="L218" s="10">
        <f t="shared" si="61"/>
        <v>0</v>
      </c>
      <c r="M218" s="10">
        <f t="shared" si="61"/>
        <v>46664</v>
      </c>
      <c r="N218" s="10">
        <f t="shared" si="61"/>
        <v>46156</v>
      </c>
      <c r="O218" s="10">
        <f t="shared" si="61"/>
        <v>101145</v>
      </c>
      <c r="P218" s="10">
        <f t="shared" si="61"/>
        <v>30000</v>
      </c>
      <c r="Q218" s="10">
        <f t="shared" si="61"/>
        <v>50350</v>
      </c>
      <c r="R218" s="10">
        <f t="shared" si="61"/>
        <v>50350</v>
      </c>
    </row>
    <row r="219" spans="1:18" x14ac:dyDescent="0.2">
      <c r="A219" s="8"/>
      <c r="B219" s="14"/>
      <c r="C219" s="8" t="s">
        <v>30</v>
      </c>
      <c r="D219" s="8"/>
      <c r="E219" s="69"/>
      <c r="F219" s="10">
        <f t="shared" ref="F219:R219" si="62">AVERAGE(F196:F214)</f>
        <v>44816</v>
      </c>
      <c r="G219" s="10">
        <f t="shared" si="62"/>
        <v>20883.052631578947</v>
      </c>
      <c r="H219" s="10">
        <f t="shared" si="62"/>
        <v>2.1255410669193848</v>
      </c>
      <c r="I219" s="10">
        <f t="shared" si="62"/>
        <v>3406.0105263157902</v>
      </c>
      <c r="J219" s="10">
        <f t="shared" si="62"/>
        <v>27.168421052631583</v>
      </c>
      <c r="K219" s="10">
        <f t="shared" si="62"/>
        <v>504.43</v>
      </c>
      <c r="L219" s="10">
        <f t="shared" si="62"/>
        <v>0</v>
      </c>
      <c r="M219" s="10">
        <f t="shared" si="62"/>
        <v>15638.157894736842</v>
      </c>
      <c r="N219" s="10">
        <f t="shared" si="62"/>
        <v>17041.157894736843</v>
      </c>
      <c r="O219" s="10">
        <f t="shared" si="62"/>
        <v>8815.8421052631584</v>
      </c>
      <c r="P219" s="10">
        <f t="shared" si="62"/>
        <v>9124.5789473684217</v>
      </c>
      <c r="Q219" s="10">
        <f t="shared" si="62"/>
        <v>15622.631578947368</v>
      </c>
      <c r="R219" s="10">
        <f t="shared" si="62"/>
        <v>20883.052631578947</v>
      </c>
    </row>
    <row r="220" spans="1:18" ht="13.5" thickBot="1" x14ac:dyDescent="0.25">
      <c r="A220" s="16"/>
      <c r="B220" s="17"/>
      <c r="C220" s="16" t="s">
        <v>31</v>
      </c>
      <c r="D220" s="16"/>
      <c r="E220" s="69"/>
      <c r="F220" s="18">
        <f t="shared" ref="F220:R220" si="63">MEDIAN(F196:F214)</f>
        <v>37126</v>
      </c>
      <c r="G220" s="18">
        <f t="shared" si="63"/>
        <v>16184</v>
      </c>
      <c r="H220" s="18">
        <f t="shared" si="63"/>
        <v>2.1520945927409398</v>
      </c>
      <c r="I220" s="18">
        <f t="shared" si="63"/>
        <v>2555.4</v>
      </c>
      <c r="J220" s="18">
        <f t="shared" si="63"/>
        <v>9.6999999999999993</v>
      </c>
      <c r="K220" s="18">
        <f t="shared" si="63"/>
        <v>496</v>
      </c>
      <c r="L220" s="18">
        <f t="shared" si="63"/>
        <v>0</v>
      </c>
      <c r="M220" s="18">
        <f t="shared" si="63"/>
        <v>12088</v>
      </c>
      <c r="N220" s="18">
        <f t="shared" si="63"/>
        <v>14343</v>
      </c>
      <c r="O220" s="18">
        <f t="shared" si="63"/>
        <v>0</v>
      </c>
      <c r="P220" s="18">
        <f t="shared" si="63"/>
        <v>7729</v>
      </c>
      <c r="Q220" s="18">
        <f t="shared" si="63"/>
        <v>8235</v>
      </c>
      <c r="R220" s="18">
        <f t="shared" si="63"/>
        <v>16184</v>
      </c>
    </row>
    <row r="221" spans="1:18" ht="13.5" thickTop="1" x14ac:dyDescent="0.2">
      <c r="B221" s="42" t="s">
        <v>25</v>
      </c>
      <c r="F221"/>
      <c r="G221"/>
      <c r="H221"/>
      <c r="I221"/>
      <c r="J221"/>
      <c r="K221"/>
      <c r="M221" s="563">
        <f>M216/G216</f>
        <v>0.7488444419801501</v>
      </c>
    </row>
    <row r="222" spans="1:18" x14ac:dyDescent="0.2">
      <c r="B222" s="42"/>
    </row>
    <row r="224" spans="1:18" ht="15.75" x14ac:dyDescent="0.25">
      <c r="A224" s="74"/>
      <c r="B224" s="74" t="s">
        <v>521</v>
      </c>
      <c r="C224" s="75" t="s">
        <v>455</v>
      </c>
      <c r="D224" s="46"/>
      <c r="E224" s="76"/>
      <c r="F224" s="46"/>
      <c r="G224" s="46"/>
      <c r="H224" s="46"/>
      <c r="I224" s="46"/>
      <c r="J224" s="46"/>
      <c r="K224" s="46"/>
    </row>
    <row r="225" spans="1:18" x14ac:dyDescent="0.2">
      <c r="A225" s="8">
        <v>10050</v>
      </c>
      <c r="B225" s="77" t="str">
        <f t="shared" ref="B225:B256" si="64">VLOOKUP($A225,$A$5:$K$132,2,FALSE)</f>
        <v>Albury</v>
      </c>
      <c r="C225" s="9" t="str">
        <f t="shared" ref="C225:C256" si="65">VLOOKUP($A225,$A$5:$K$133,3,FALSE)</f>
        <v>RAMJO Murray</v>
      </c>
      <c r="D225" s="45" t="str">
        <f t="shared" ref="D225:D256" si="66">VLOOKUP($A225,$A$5:$K$133,4,FALSE)</f>
        <v>N</v>
      </c>
      <c r="E225" s="10" t="str">
        <f t="shared" ref="E225:E256" si="67">VLOOKUP($A225,$A$5:$R$132,5,FALSE)</f>
        <v>RMJO</v>
      </c>
      <c r="F225" s="10">
        <f t="shared" ref="F225:F256" si="68">VLOOKUP($A225,$A$5:$R$132,6,FALSE)</f>
        <v>57517</v>
      </c>
      <c r="G225" s="10">
        <f t="shared" ref="G225:G256" si="69">VLOOKUP($A225,$A$5:$R$132,7,FALSE)</f>
        <v>26823</v>
      </c>
      <c r="H225" s="10">
        <f t="shared" ref="H225:H256" si="70">VLOOKUP($A225,$A$5:$R$132,8,FALSE)</f>
        <v>2.1443164448421133</v>
      </c>
      <c r="I225" s="10">
        <f t="shared" ref="I225:I256" si="71">VLOOKUP($A225,$A$5:$R$132,9,FALSE)</f>
        <v>305.60000000000002</v>
      </c>
      <c r="J225" s="10">
        <f t="shared" ref="J225:J256" si="72">VLOOKUP($A225,$A$5:$R$132,10,FALSE)</f>
        <v>188.2</v>
      </c>
      <c r="K225" s="10">
        <f t="shared" ref="K225:K256" si="73">VLOOKUP($A225,$A$5:$R$132,11,FALSE)</f>
        <v>270</v>
      </c>
      <c r="L225" s="10">
        <f t="shared" ref="L225:L256" si="74">VLOOKUP($A225,$A$4:$R$132,12,FALSE)</f>
        <v>0</v>
      </c>
      <c r="M225" s="10">
        <f t="shared" ref="M225:M256" si="75">VLOOKUP($A225,$A$4:$R$132,13,FALSE)</f>
        <v>26062</v>
      </c>
      <c r="N225" s="10">
        <f t="shared" ref="N225:N256" si="76">VLOOKUP($A225,$A$4:$R$132,14,FALSE)</f>
        <v>26167</v>
      </c>
      <c r="O225" s="10">
        <f t="shared" ref="O225:O256" si="77">VLOOKUP($A225,$A$4:$R$132,15,FALSE)</f>
        <v>0</v>
      </c>
      <c r="P225" s="10">
        <f t="shared" ref="P225:P256" si="78">VLOOKUP($A225,$A$4:$R$132,16,FALSE)</f>
        <v>26570</v>
      </c>
      <c r="Q225" s="10">
        <f t="shared" ref="Q225:Q256" si="79">VLOOKUP($A225,$A$4:$R$132,17,FALSE)</f>
        <v>0</v>
      </c>
      <c r="R225" s="10">
        <f t="shared" ref="R225:R256" si="80">VLOOKUP($A225,$A$4:$R$132,18,FALSE)</f>
        <v>26823</v>
      </c>
    </row>
    <row r="226" spans="1:18" x14ac:dyDescent="0.2">
      <c r="A226" s="8">
        <v>10180</v>
      </c>
      <c r="B226" s="77" t="str">
        <f t="shared" si="64"/>
        <v>Armidale Regional</v>
      </c>
      <c r="C226" s="9" t="str">
        <f t="shared" si="65"/>
        <v>NIRW</v>
      </c>
      <c r="D226" s="45" t="str">
        <f t="shared" si="66"/>
        <v>N</v>
      </c>
      <c r="E226" s="10" t="str">
        <f t="shared" si="67"/>
        <v>NEJO</v>
      </c>
      <c r="F226" s="10">
        <f t="shared" si="68"/>
        <v>29594</v>
      </c>
      <c r="G226" s="10">
        <f t="shared" si="69"/>
        <v>13068</v>
      </c>
      <c r="H226" s="10">
        <f t="shared" si="70"/>
        <v>2.2646158555249465</v>
      </c>
      <c r="I226" s="10">
        <f t="shared" si="71"/>
        <v>7809.4</v>
      </c>
      <c r="J226" s="10">
        <f t="shared" si="72"/>
        <v>3.8</v>
      </c>
      <c r="K226" s="10">
        <f t="shared" si="73"/>
        <v>467</v>
      </c>
      <c r="L226" s="10">
        <f t="shared" si="74"/>
        <v>0</v>
      </c>
      <c r="M226" s="10">
        <f t="shared" si="75"/>
        <v>10553</v>
      </c>
      <c r="N226" s="10">
        <f t="shared" si="76"/>
        <v>10228</v>
      </c>
      <c r="O226" s="10">
        <f t="shared" si="77"/>
        <v>0</v>
      </c>
      <c r="P226" s="10">
        <f t="shared" si="78"/>
        <v>10228</v>
      </c>
      <c r="Q226" s="10">
        <f t="shared" si="79"/>
        <v>0</v>
      </c>
      <c r="R226" s="10">
        <f t="shared" si="80"/>
        <v>13068</v>
      </c>
    </row>
    <row r="227" spans="1:18" x14ac:dyDescent="0.2">
      <c r="A227" s="8">
        <v>10300</v>
      </c>
      <c r="B227" s="77" t="str">
        <f t="shared" si="64"/>
        <v>Balranald</v>
      </c>
      <c r="C227" s="9" t="str">
        <f t="shared" si="65"/>
        <v>RAMJO Murray</v>
      </c>
      <c r="D227" s="45" t="str">
        <f t="shared" si="66"/>
        <v>N</v>
      </c>
      <c r="E227" s="10" t="str">
        <f t="shared" si="67"/>
        <v>FSWJO</v>
      </c>
      <c r="F227" s="10">
        <f t="shared" si="68"/>
        <v>2202</v>
      </c>
      <c r="G227" s="10">
        <f t="shared" si="69"/>
        <v>1651</v>
      </c>
      <c r="H227" s="10">
        <f t="shared" si="70"/>
        <v>1.3337371290127196</v>
      </c>
      <c r="I227" s="10">
        <f t="shared" si="71"/>
        <v>21690.7</v>
      </c>
      <c r="J227" s="10">
        <f t="shared" si="72"/>
        <v>0.1</v>
      </c>
      <c r="K227" s="10">
        <f t="shared" si="73"/>
        <v>390</v>
      </c>
      <c r="L227" s="10">
        <f t="shared" si="74"/>
        <v>0</v>
      </c>
      <c r="M227" s="10">
        <f t="shared" si="75"/>
        <v>1055</v>
      </c>
      <c r="N227" s="10">
        <f t="shared" si="76"/>
        <v>0</v>
      </c>
      <c r="O227" s="10">
        <f t="shared" si="77"/>
        <v>0</v>
      </c>
      <c r="P227" s="10">
        <f t="shared" si="78"/>
        <v>0</v>
      </c>
      <c r="Q227" s="10">
        <f t="shared" si="79"/>
        <v>0</v>
      </c>
      <c r="R227" s="10">
        <f t="shared" si="80"/>
        <v>1651</v>
      </c>
    </row>
    <row r="228" spans="1:18" x14ac:dyDescent="0.2">
      <c r="A228" s="8">
        <v>10470</v>
      </c>
      <c r="B228" s="77" t="str">
        <f t="shared" si="64"/>
        <v>Bathurst Regional</v>
      </c>
      <c r="C228" s="9" t="str">
        <f t="shared" si="65"/>
        <v>NetWaste</v>
      </c>
      <c r="D228" s="45" t="str">
        <f t="shared" si="66"/>
        <v>N</v>
      </c>
      <c r="E228" s="10" t="str">
        <f t="shared" si="67"/>
        <v>CNJO</v>
      </c>
      <c r="F228" s="10">
        <f t="shared" si="68"/>
        <v>44612</v>
      </c>
      <c r="G228" s="10">
        <f t="shared" si="69"/>
        <v>20350</v>
      </c>
      <c r="H228" s="10">
        <f t="shared" si="70"/>
        <v>2.1922358722358721</v>
      </c>
      <c r="I228" s="10">
        <f t="shared" si="71"/>
        <v>3817.9</v>
      </c>
      <c r="J228" s="10">
        <f t="shared" si="72"/>
        <v>11.7</v>
      </c>
      <c r="K228" s="10">
        <f t="shared" si="73"/>
        <v>464</v>
      </c>
      <c r="L228" s="10">
        <f t="shared" si="74"/>
        <v>0</v>
      </c>
      <c r="M228" s="10">
        <f t="shared" si="75"/>
        <v>16910</v>
      </c>
      <c r="N228" s="10">
        <f t="shared" si="76"/>
        <v>15845</v>
      </c>
      <c r="O228" s="10">
        <f t="shared" si="77"/>
        <v>0</v>
      </c>
      <c r="P228" s="10">
        <f t="shared" si="78"/>
        <v>14393</v>
      </c>
      <c r="Q228" s="10">
        <f t="shared" si="79"/>
        <v>0</v>
      </c>
      <c r="R228" s="10">
        <f t="shared" si="80"/>
        <v>20350</v>
      </c>
    </row>
    <row r="229" spans="1:18" x14ac:dyDescent="0.2">
      <c r="A229" s="8">
        <v>10550</v>
      </c>
      <c r="B229" s="77" t="str">
        <f t="shared" si="64"/>
        <v>Bega Valley</v>
      </c>
      <c r="C229" s="9" t="str">
        <f t="shared" si="65"/>
        <v>CRJO</v>
      </c>
      <c r="D229" s="45" t="str">
        <f t="shared" si="66"/>
        <v>N</v>
      </c>
      <c r="E229" s="10" t="str">
        <f t="shared" si="67"/>
        <v>CRJO</v>
      </c>
      <c r="F229" s="10">
        <f t="shared" si="68"/>
        <v>36279</v>
      </c>
      <c r="G229" s="10">
        <f t="shared" si="69"/>
        <v>18870</v>
      </c>
      <c r="H229" s="10">
        <f t="shared" si="70"/>
        <v>1.9225755166931637</v>
      </c>
      <c r="I229" s="10">
        <f t="shared" si="71"/>
        <v>6278.5</v>
      </c>
      <c r="J229" s="10">
        <f t="shared" si="72"/>
        <v>5.8</v>
      </c>
      <c r="K229" s="10">
        <f t="shared" si="73"/>
        <v>265.62</v>
      </c>
      <c r="L229" s="10">
        <f t="shared" si="74"/>
        <v>0</v>
      </c>
      <c r="M229" s="10">
        <f t="shared" si="75"/>
        <v>15946</v>
      </c>
      <c r="N229" s="10">
        <f t="shared" si="76"/>
        <v>16213</v>
      </c>
      <c r="O229" s="10">
        <f t="shared" si="77"/>
        <v>0</v>
      </c>
      <c r="P229" s="10">
        <f t="shared" si="78"/>
        <v>12242</v>
      </c>
      <c r="Q229" s="10">
        <f t="shared" si="79"/>
        <v>0</v>
      </c>
      <c r="R229" s="10">
        <f t="shared" si="80"/>
        <v>18870</v>
      </c>
    </row>
    <row r="230" spans="1:18" x14ac:dyDescent="0.2">
      <c r="A230" s="8">
        <v>10650</v>
      </c>
      <c r="B230" s="77" t="str">
        <f t="shared" si="64"/>
        <v>Berrigan</v>
      </c>
      <c r="C230" s="9" t="str">
        <f t="shared" si="65"/>
        <v>RAMJO Murray</v>
      </c>
      <c r="D230" s="45" t="str">
        <f t="shared" si="66"/>
        <v>N</v>
      </c>
      <c r="E230" s="10" t="str">
        <f t="shared" si="67"/>
        <v>RMJO</v>
      </c>
      <c r="F230" s="10">
        <f t="shared" si="68"/>
        <v>8643</v>
      </c>
      <c r="G230" s="10">
        <f t="shared" si="69"/>
        <v>5516</v>
      </c>
      <c r="H230" s="10">
        <f t="shared" si="70"/>
        <v>1.5668963016678752</v>
      </c>
      <c r="I230" s="10">
        <f t="shared" si="71"/>
        <v>2065.9</v>
      </c>
      <c r="J230" s="10">
        <f t="shared" si="72"/>
        <v>4.2</v>
      </c>
      <c r="K230" s="10">
        <f t="shared" si="73"/>
        <v>339</v>
      </c>
      <c r="L230" s="10">
        <f t="shared" si="74"/>
        <v>0</v>
      </c>
      <c r="M230" s="10">
        <f t="shared" si="75"/>
        <v>3331</v>
      </c>
      <c r="N230" s="10">
        <f t="shared" si="76"/>
        <v>3127</v>
      </c>
      <c r="O230" s="10">
        <f t="shared" si="77"/>
        <v>0</v>
      </c>
      <c r="P230" s="10">
        <f t="shared" si="78"/>
        <v>0</v>
      </c>
      <c r="Q230" s="10">
        <f t="shared" si="79"/>
        <v>0</v>
      </c>
      <c r="R230" s="10">
        <f t="shared" si="80"/>
        <v>5516</v>
      </c>
    </row>
    <row r="231" spans="1:18" x14ac:dyDescent="0.2">
      <c r="A231" s="8">
        <v>10800</v>
      </c>
      <c r="B231" s="77" t="str">
        <f t="shared" si="64"/>
        <v>Bland</v>
      </c>
      <c r="C231" s="9" t="str">
        <f t="shared" si="65"/>
        <v>REROC</v>
      </c>
      <c r="D231" s="45" t="str">
        <f t="shared" si="66"/>
        <v>N</v>
      </c>
      <c r="E231" s="10" t="str">
        <f t="shared" si="67"/>
        <v>RJO</v>
      </c>
      <c r="F231" s="10">
        <f t="shared" si="68"/>
        <v>5464</v>
      </c>
      <c r="G231" s="10">
        <f t="shared" si="69"/>
        <v>4406</v>
      </c>
      <c r="H231" s="10">
        <f t="shared" si="70"/>
        <v>1.2401270994098956</v>
      </c>
      <c r="I231" s="10">
        <f t="shared" si="71"/>
        <v>8557.7000000000007</v>
      </c>
      <c r="J231" s="10">
        <f t="shared" si="72"/>
        <v>0.6</v>
      </c>
      <c r="K231" s="10">
        <f t="shared" si="73"/>
        <v>481</v>
      </c>
      <c r="L231" s="10">
        <f t="shared" si="74"/>
        <v>0</v>
      </c>
      <c r="M231" s="10">
        <f t="shared" si="75"/>
        <v>1982</v>
      </c>
      <c r="N231" s="10">
        <f t="shared" si="76"/>
        <v>0</v>
      </c>
      <c r="O231" s="10">
        <f t="shared" si="77"/>
        <v>0</v>
      </c>
      <c r="P231" s="10">
        <f t="shared" si="78"/>
        <v>0</v>
      </c>
      <c r="Q231" s="10">
        <f t="shared" si="79"/>
        <v>0</v>
      </c>
      <c r="R231" s="10">
        <f t="shared" si="80"/>
        <v>4406</v>
      </c>
    </row>
    <row r="232" spans="1:18" x14ac:dyDescent="0.2">
      <c r="A232" s="8">
        <v>10850</v>
      </c>
      <c r="B232" s="77" t="str">
        <f t="shared" si="64"/>
        <v>Blayney</v>
      </c>
      <c r="C232" s="9" t="str">
        <f t="shared" si="65"/>
        <v>NetWaste</v>
      </c>
      <c r="D232" s="45" t="str">
        <f t="shared" si="66"/>
        <v>N</v>
      </c>
      <c r="E232" s="10" t="str">
        <f t="shared" si="67"/>
        <v>CNJO</v>
      </c>
      <c r="F232" s="10">
        <f t="shared" si="68"/>
        <v>7644</v>
      </c>
      <c r="G232" s="10">
        <f t="shared" si="69"/>
        <v>4379</v>
      </c>
      <c r="H232" s="10">
        <f t="shared" si="70"/>
        <v>1.7456040191824618</v>
      </c>
      <c r="I232" s="10">
        <f t="shared" si="71"/>
        <v>1524.6</v>
      </c>
      <c r="J232" s="10">
        <f t="shared" si="72"/>
        <v>5</v>
      </c>
      <c r="K232" s="10">
        <f t="shared" si="73"/>
        <v>348</v>
      </c>
      <c r="L232" s="10">
        <f t="shared" si="74"/>
        <v>0</v>
      </c>
      <c r="M232" s="10">
        <f t="shared" si="75"/>
        <v>2687</v>
      </c>
      <c r="N232" s="10">
        <f t="shared" si="76"/>
        <v>2730</v>
      </c>
      <c r="O232" s="10">
        <f t="shared" si="77"/>
        <v>0</v>
      </c>
      <c r="P232" s="10">
        <f t="shared" si="78"/>
        <v>0</v>
      </c>
      <c r="Q232" s="10">
        <f t="shared" si="79"/>
        <v>4379</v>
      </c>
      <c r="R232" s="10">
        <f t="shared" si="80"/>
        <v>4379</v>
      </c>
    </row>
    <row r="233" spans="1:18" x14ac:dyDescent="0.2">
      <c r="A233" s="8">
        <v>10950</v>
      </c>
      <c r="B233" s="77" t="str">
        <f t="shared" si="64"/>
        <v>Bogan</v>
      </c>
      <c r="C233" s="9" t="str">
        <f t="shared" si="65"/>
        <v>NetWaste</v>
      </c>
      <c r="D233" s="45" t="str">
        <f t="shared" si="66"/>
        <v>N</v>
      </c>
      <c r="E233" s="10" t="str">
        <f t="shared" si="67"/>
        <v>OJO</v>
      </c>
      <c r="F233" s="10">
        <f t="shared" si="68"/>
        <v>2420</v>
      </c>
      <c r="G233" s="10">
        <f t="shared" si="69"/>
        <v>2137</v>
      </c>
      <c r="H233" s="10">
        <f t="shared" si="70"/>
        <v>1.1324286382779598</v>
      </c>
      <c r="I233" s="10">
        <f t="shared" si="71"/>
        <v>14599.9</v>
      </c>
      <c r="J233" s="10">
        <f t="shared" si="72"/>
        <v>0.2</v>
      </c>
      <c r="K233" s="10">
        <f t="shared" si="73"/>
        <v>511</v>
      </c>
      <c r="L233" s="10">
        <f t="shared" si="74"/>
        <v>0</v>
      </c>
      <c r="M233" s="10">
        <f t="shared" si="75"/>
        <v>1038</v>
      </c>
      <c r="N233" s="10">
        <f t="shared" si="76"/>
        <v>898</v>
      </c>
      <c r="O233" s="10">
        <f t="shared" si="77"/>
        <v>0</v>
      </c>
      <c r="P233" s="10">
        <f t="shared" si="78"/>
        <v>0</v>
      </c>
      <c r="Q233" s="10">
        <f t="shared" si="79"/>
        <v>0</v>
      </c>
      <c r="R233" s="10">
        <f t="shared" si="80"/>
        <v>2137</v>
      </c>
    </row>
    <row r="234" spans="1:18" x14ac:dyDescent="0.2">
      <c r="A234" s="8">
        <v>11150</v>
      </c>
      <c r="B234" s="77" t="str">
        <f t="shared" si="64"/>
        <v>Bourke</v>
      </c>
      <c r="C234" s="9" t="str">
        <f t="shared" si="65"/>
        <v>NetWaste</v>
      </c>
      <c r="D234" s="45" t="str">
        <f t="shared" si="66"/>
        <v>N</v>
      </c>
      <c r="E234" s="10" t="str">
        <f t="shared" si="67"/>
        <v>FNWJO</v>
      </c>
      <c r="F234" s="10">
        <f t="shared" si="68"/>
        <v>2365</v>
      </c>
      <c r="G234" s="10">
        <f t="shared" si="69"/>
        <v>1029</v>
      </c>
      <c r="H234" s="10">
        <f t="shared" si="70"/>
        <v>2.2983479105928084</v>
      </c>
      <c r="I234" s="10">
        <f t="shared" si="71"/>
        <v>41598.400000000001</v>
      </c>
      <c r="J234" s="10">
        <f t="shared" si="72"/>
        <v>0.1</v>
      </c>
      <c r="K234" s="10">
        <f t="shared" si="73"/>
        <v>288</v>
      </c>
      <c r="L234" s="10">
        <f t="shared" si="74"/>
        <v>0</v>
      </c>
      <c r="M234" s="10">
        <f t="shared" si="75"/>
        <v>963</v>
      </c>
      <c r="N234" s="10">
        <f t="shared" si="76"/>
        <v>0</v>
      </c>
      <c r="O234" s="10">
        <f t="shared" si="77"/>
        <v>0</v>
      </c>
      <c r="P234" s="10">
        <f t="shared" si="78"/>
        <v>0</v>
      </c>
      <c r="Q234" s="10">
        <f t="shared" si="79"/>
        <v>0</v>
      </c>
      <c r="R234" s="10">
        <f t="shared" si="80"/>
        <v>0</v>
      </c>
    </row>
    <row r="235" spans="1:18" x14ac:dyDescent="0.2">
      <c r="A235" s="8">
        <v>11200</v>
      </c>
      <c r="B235" s="77" t="str">
        <f t="shared" si="64"/>
        <v>Brewarrina</v>
      </c>
      <c r="C235" s="9" t="str">
        <f t="shared" si="65"/>
        <v>NetWaste</v>
      </c>
      <c r="D235" s="45" t="str">
        <f t="shared" si="66"/>
        <v>N</v>
      </c>
      <c r="E235" s="10">
        <f t="shared" si="67"/>
        <v>0</v>
      </c>
      <c r="F235" s="10">
        <f t="shared" si="68"/>
        <v>1411</v>
      </c>
      <c r="G235" s="10">
        <f t="shared" si="69"/>
        <v>734</v>
      </c>
      <c r="H235" s="10">
        <f t="shared" si="70"/>
        <v>1.9223433242506811</v>
      </c>
      <c r="I235" s="10">
        <f t="shared" si="71"/>
        <v>19162</v>
      </c>
      <c r="J235" s="10">
        <f t="shared" si="72"/>
        <v>0.1</v>
      </c>
      <c r="K235" s="10">
        <f t="shared" si="73"/>
        <v>460</v>
      </c>
      <c r="L235" s="10" t="str">
        <f t="shared" si="74"/>
        <v>2021-2022 data used</v>
      </c>
      <c r="M235" s="10">
        <f t="shared" si="75"/>
        <v>461</v>
      </c>
      <c r="N235" s="10">
        <f t="shared" si="76"/>
        <v>0</v>
      </c>
      <c r="O235" s="10">
        <f t="shared" si="77"/>
        <v>0</v>
      </c>
      <c r="P235" s="10">
        <f t="shared" si="78"/>
        <v>0</v>
      </c>
      <c r="Q235" s="10">
        <f t="shared" si="79"/>
        <v>0</v>
      </c>
      <c r="R235" s="10">
        <f t="shared" si="80"/>
        <v>734</v>
      </c>
    </row>
    <row r="236" spans="1:18" x14ac:dyDescent="0.2">
      <c r="A236" s="8">
        <v>11250</v>
      </c>
      <c r="B236" s="77" t="str">
        <f t="shared" si="64"/>
        <v>Broken Hill</v>
      </c>
      <c r="C236" s="9" t="str">
        <f t="shared" si="65"/>
        <v>NetWaste</v>
      </c>
      <c r="D236" s="45" t="str">
        <f t="shared" si="66"/>
        <v>N</v>
      </c>
      <c r="E236" s="10" t="str">
        <f t="shared" si="67"/>
        <v>FSWJO</v>
      </c>
      <c r="F236" s="10">
        <f t="shared" si="68"/>
        <v>17624</v>
      </c>
      <c r="G236" s="10">
        <f t="shared" si="69"/>
        <v>10578</v>
      </c>
      <c r="H236" s="10">
        <f t="shared" si="70"/>
        <v>1.6660994516921914</v>
      </c>
      <c r="I236" s="10">
        <f t="shared" si="71"/>
        <v>170.1</v>
      </c>
      <c r="J236" s="10">
        <f t="shared" si="72"/>
        <v>103.6</v>
      </c>
      <c r="K236" s="10">
        <f t="shared" si="73"/>
        <v>352</v>
      </c>
      <c r="L236" s="10">
        <f t="shared" si="74"/>
        <v>0</v>
      </c>
      <c r="M236" s="10">
        <f t="shared" si="75"/>
        <v>10017</v>
      </c>
      <c r="N236" s="10">
        <f t="shared" si="76"/>
        <v>0</v>
      </c>
      <c r="O236" s="10">
        <f t="shared" si="77"/>
        <v>0</v>
      </c>
      <c r="P236" s="10">
        <f t="shared" si="78"/>
        <v>9654</v>
      </c>
      <c r="Q236" s="10">
        <f t="shared" si="79"/>
        <v>0</v>
      </c>
      <c r="R236" s="10">
        <f t="shared" si="80"/>
        <v>10578</v>
      </c>
    </row>
    <row r="237" spans="1:18" x14ac:dyDescent="0.2">
      <c r="A237" s="8">
        <v>11400</v>
      </c>
      <c r="B237" s="77" t="str">
        <f t="shared" si="64"/>
        <v>Cabonne</v>
      </c>
      <c r="C237" s="9" t="str">
        <f t="shared" si="65"/>
        <v>NetWaste</v>
      </c>
      <c r="D237" s="45" t="str">
        <f t="shared" si="66"/>
        <v>N</v>
      </c>
      <c r="E237" s="10" t="str">
        <f t="shared" si="67"/>
        <v>CNJO</v>
      </c>
      <c r="F237" s="10">
        <f t="shared" si="68"/>
        <v>13880</v>
      </c>
      <c r="G237" s="10">
        <f t="shared" si="69"/>
        <v>7451</v>
      </c>
      <c r="H237" s="10">
        <f t="shared" si="70"/>
        <v>1.862837203059992</v>
      </c>
      <c r="I237" s="10">
        <f t="shared" si="71"/>
        <v>6022.3</v>
      </c>
      <c r="J237" s="10">
        <f t="shared" si="72"/>
        <v>2.2999999999999998</v>
      </c>
      <c r="K237" s="10">
        <f t="shared" si="73"/>
        <v>419.6</v>
      </c>
      <c r="L237" s="10">
        <f t="shared" si="74"/>
        <v>0</v>
      </c>
      <c r="M237" s="10">
        <f t="shared" si="75"/>
        <v>3767</v>
      </c>
      <c r="N237" s="10">
        <f t="shared" si="76"/>
        <v>3767</v>
      </c>
      <c r="O237" s="10">
        <f t="shared" si="77"/>
        <v>0</v>
      </c>
      <c r="P237" s="10">
        <f t="shared" si="78"/>
        <v>0</v>
      </c>
      <c r="Q237" s="10">
        <f t="shared" si="79"/>
        <v>7451</v>
      </c>
      <c r="R237" s="10">
        <f t="shared" si="80"/>
        <v>7451</v>
      </c>
    </row>
    <row r="238" spans="1:18" x14ac:dyDescent="0.2">
      <c r="A238" s="8">
        <v>11600</v>
      </c>
      <c r="B238" s="77" t="str">
        <f t="shared" si="64"/>
        <v>Carrathool</v>
      </c>
      <c r="C238" s="9" t="str">
        <f t="shared" si="65"/>
        <v>RAMJO Riverina</v>
      </c>
      <c r="D238" s="45" t="str">
        <f t="shared" si="66"/>
        <v>N</v>
      </c>
      <c r="E238" s="10" t="str">
        <f t="shared" si="67"/>
        <v>RMJO</v>
      </c>
      <c r="F238" s="10">
        <f t="shared" si="68"/>
        <v>2765</v>
      </c>
      <c r="G238" s="10">
        <f t="shared" si="69"/>
        <v>1371</v>
      </c>
      <c r="H238" s="10">
        <f t="shared" si="70"/>
        <v>2.0167760758570386</v>
      </c>
      <c r="I238" s="10">
        <f t="shared" si="71"/>
        <v>18934.5</v>
      </c>
      <c r="J238" s="10">
        <f t="shared" si="72"/>
        <v>0.1</v>
      </c>
      <c r="K238" s="10">
        <f t="shared" si="73"/>
        <v>203</v>
      </c>
      <c r="L238" s="10">
        <f t="shared" si="74"/>
        <v>0</v>
      </c>
      <c r="M238" s="10">
        <f t="shared" si="75"/>
        <v>603</v>
      </c>
      <c r="N238" s="10">
        <f t="shared" si="76"/>
        <v>0</v>
      </c>
      <c r="O238" s="10">
        <f t="shared" si="77"/>
        <v>0</v>
      </c>
      <c r="P238" s="10">
        <f t="shared" si="78"/>
        <v>0</v>
      </c>
      <c r="Q238" s="10">
        <f t="shared" si="79"/>
        <v>0</v>
      </c>
      <c r="R238" s="10">
        <f t="shared" si="80"/>
        <v>0</v>
      </c>
    </row>
    <row r="239" spans="1:18" x14ac:dyDescent="0.2">
      <c r="A239" s="8">
        <v>11700</v>
      </c>
      <c r="B239" s="77" t="str">
        <f t="shared" si="64"/>
        <v>Central Darling</v>
      </c>
      <c r="C239" s="9" t="str">
        <f t="shared" si="65"/>
        <v>NetWaste</v>
      </c>
      <c r="D239" s="45" t="str">
        <f t="shared" si="66"/>
        <v>N</v>
      </c>
      <c r="E239" s="10" t="str">
        <f t="shared" si="67"/>
        <v>FSWJO</v>
      </c>
      <c r="F239" s="10">
        <f t="shared" si="68"/>
        <v>1757</v>
      </c>
      <c r="G239" s="10">
        <f t="shared" si="69"/>
        <v>1055</v>
      </c>
      <c r="H239" s="10">
        <f t="shared" si="70"/>
        <v>1.6654028436018957</v>
      </c>
      <c r="I239" s="10">
        <f t="shared" si="71"/>
        <v>53492.2</v>
      </c>
      <c r="J239" s="10">
        <f t="shared" si="72"/>
        <v>0</v>
      </c>
      <c r="K239" s="10">
        <f t="shared" si="73"/>
        <v>635</v>
      </c>
      <c r="L239" s="10">
        <f t="shared" si="74"/>
        <v>0</v>
      </c>
      <c r="M239" s="10">
        <f t="shared" si="75"/>
        <v>507</v>
      </c>
      <c r="N239" s="10">
        <f t="shared" si="76"/>
        <v>0</v>
      </c>
      <c r="O239" s="10">
        <f t="shared" si="77"/>
        <v>0</v>
      </c>
      <c r="P239" s="10">
        <f t="shared" si="78"/>
        <v>0</v>
      </c>
      <c r="Q239" s="10">
        <f t="shared" si="79"/>
        <v>1055</v>
      </c>
      <c r="R239" s="10">
        <f t="shared" si="80"/>
        <v>1055</v>
      </c>
    </row>
    <row r="240" spans="1:18" x14ac:dyDescent="0.2">
      <c r="A240" s="8">
        <v>11750</v>
      </c>
      <c r="B240" s="77" t="str">
        <f t="shared" si="64"/>
        <v>Cobar</v>
      </c>
      <c r="C240" s="9" t="str">
        <f t="shared" si="65"/>
        <v>NetWaste</v>
      </c>
      <c r="D240" s="45" t="str">
        <f t="shared" si="66"/>
        <v>N</v>
      </c>
      <c r="E240" s="10" t="str">
        <f t="shared" si="67"/>
        <v>FNWJO</v>
      </c>
      <c r="F240" s="10">
        <f t="shared" si="68"/>
        <v>4078</v>
      </c>
      <c r="G240" s="10">
        <f t="shared" si="69"/>
        <v>2876</v>
      </c>
      <c r="H240" s="10">
        <f t="shared" si="70"/>
        <v>1.417941585535466</v>
      </c>
      <c r="I240" s="10">
        <f t="shared" si="71"/>
        <v>45575.4</v>
      </c>
      <c r="J240" s="10">
        <f t="shared" si="72"/>
        <v>0.1</v>
      </c>
      <c r="K240" s="10">
        <f t="shared" si="73"/>
        <v>260</v>
      </c>
      <c r="L240" s="10">
        <f t="shared" si="74"/>
        <v>0</v>
      </c>
      <c r="M240" s="10">
        <f t="shared" si="75"/>
        <v>2511</v>
      </c>
      <c r="N240" s="10">
        <f t="shared" si="76"/>
        <v>0</v>
      </c>
      <c r="O240" s="10">
        <f t="shared" si="77"/>
        <v>0</v>
      </c>
      <c r="P240" s="10">
        <f t="shared" si="78"/>
        <v>0</v>
      </c>
      <c r="Q240" s="10">
        <f t="shared" si="79"/>
        <v>0</v>
      </c>
      <c r="R240" s="10">
        <f t="shared" si="80"/>
        <v>2876</v>
      </c>
    </row>
    <row r="241" spans="1:18" x14ac:dyDescent="0.2">
      <c r="A241" s="8">
        <v>12000</v>
      </c>
      <c r="B241" s="77" t="str">
        <f t="shared" si="64"/>
        <v>Coolamon</v>
      </c>
      <c r="C241" s="9" t="str">
        <f t="shared" si="65"/>
        <v>REROC</v>
      </c>
      <c r="D241" s="45" t="str">
        <f t="shared" si="66"/>
        <v>N</v>
      </c>
      <c r="E241" s="10" t="str">
        <f t="shared" si="67"/>
        <v>RJO</v>
      </c>
      <c r="F241" s="10">
        <f t="shared" si="68"/>
        <v>4549</v>
      </c>
      <c r="G241" s="10">
        <f t="shared" si="69"/>
        <v>1806</v>
      </c>
      <c r="H241" s="10">
        <f t="shared" si="70"/>
        <v>2.518826135105205</v>
      </c>
      <c r="I241" s="10">
        <f t="shared" si="71"/>
        <v>2430.9</v>
      </c>
      <c r="J241" s="10">
        <f t="shared" si="72"/>
        <v>1.9</v>
      </c>
      <c r="K241" s="10">
        <f t="shared" si="73"/>
        <v>220</v>
      </c>
      <c r="L241" s="10">
        <f t="shared" si="74"/>
        <v>0</v>
      </c>
      <c r="M241" s="10">
        <f t="shared" si="75"/>
        <v>1806</v>
      </c>
      <c r="N241" s="10">
        <f t="shared" si="76"/>
        <v>1236</v>
      </c>
      <c r="O241" s="10">
        <f t="shared" si="77"/>
        <v>0</v>
      </c>
      <c r="P241" s="10">
        <f t="shared" si="78"/>
        <v>1236</v>
      </c>
      <c r="Q241" s="10">
        <f t="shared" si="79"/>
        <v>1806</v>
      </c>
      <c r="R241" s="10">
        <f t="shared" si="80"/>
        <v>1806</v>
      </c>
    </row>
    <row r="242" spans="1:18" x14ac:dyDescent="0.2">
      <c r="A242" s="8">
        <v>12150</v>
      </c>
      <c r="B242" s="77" t="str">
        <f t="shared" si="64"/>
        <v>Coonamble</v>
      </c>
      <c r="C242" s="9" t="str">
        <f t="shared" si="65"/>
        <v>NetWaste</v>
      </c>
      <c r="D242" s="45" t="str">
        <f t="shared" si="66"/>
        <v>N</v>
      </c>
      <c r="E242" s="10">
        <f t="shared" si="67"/>
        <v>0</v>
      </c>
      <c r="F242" s="10">
        <f t="shared" si="68"/>
        <v>3861</v>
      </c>
      <c r="G242" s="10">
        <f t="shared" si="69"/>
        <v>2831</v>
      </c>
      <c r="H242" s="10">
        <f t="shared" si="70"/>
        <v>1.3638290356764393</v>
      </c>
      <c r="I242" s="10">
        <f t="shared" si="71"/>
        <v>9916.1</v>
      </c>
      <c r="J242" s="10">
        <f t="shared" si="72"/>
        <v>0.4</v>
      </c>
      <c r="K242" s="10">
        <f t="shared" si="73"/>
        <v>360</v>
      </c>
      <c r="L242" s="10">
        <f t="shared" si="74"/>
        <v>0</v>
      </c>
      <c r="M242" s="10">
        <f t="shared" si="75"/>
        <v>1282</v>
      </c>
      <c r="N242" s="10">
        <f t="shared" si="76"/>
        <v>0</v>
      </c>
      <c r="O242" s="10">
        <f t="shared" si="77"/>
        <v>0</v>
      </c>
      <c r="P242" s="10">
        <f t="shared" si="78"/>
        <v>0</v>
      </c>
      <c r="Q242" s="10">
        <f t="shared" si="79"/>
        <v>0</v>
      </c>
      <c r="R242" s="10">
        <f t="shared" si="80"/>
        <v>0</v>
      </c>
    </row>
    <row r="243" spans="1:18" x14ac:dyDescent="0.2">
      <c r="A243" s="8">
        <v>12160</v>
      </c>
      <c r="B243" s="77" t="str">
        <f t="shared" si="64"/>
        <v>Cootamundra - Gundagai</v>
      </c>
      <c r="C243" s="9" t="str">
        <f t="shared" si="65"/>
        <v>REROC</v>
      </c>
      <c r="D243" s="45" t="str">
        <f t="shared" si="66"/>
        <v>N</v>
      </c>
      <c r="E243" s="10" t="str">
        <f t="shared" si="67"/>
        <v>RJO</v>
      </c>
      <c r="F243" s="10">
        <f t="shared" si="68"/>
        <v>11424</v>
      </c>
      <c r="G243" s="10">
        <f t="shared" si="69"/>
        <v>6808</v>
      </c>
      <c r="H243" s="10">
        <f t="shared" si="70"/>
        <v>1.6780258519388953</v>
      </c>
      <c r="I243" s="10">
        <f t="shared" si="71"/>
        <v>3981.4</v>
      </c>
      <c r="J243" s="10">
        <f t="shared" si="72"/>
        <v>2.9</v>
      </c>
      <c r="K243" s="10">
        <f t="shared" si="73"/>
        <v>588</v>
      </c>
      <c r="L243" s="10">
        <f t="shared" si="74"/>
        <v>0</v>
      </c>
      <c r="M243" s="10">
        <f t="shared" si="75"/>
        <v>3994</v>
      </c>
      <c r="N243" s="10">
        <f t="shared" si="76"/>
        <v>3994</v>
      </c>
      <c r="O243" s="10">
        <f t="shared" si="77"/>
        <v>3043</v>
      </c>
      <c r="P243" s="10">
        <f t="shared" si="78"/>
        <v>951</v>
      </c>
      <c r="Q243" s="10">
        <f t="shared" si="79"/>
        <v>0</v>
      </c>
      <c r="R243" s="10">
        <f t="shared" si="80"/>
        <v>6808</v>
      </c>
    </row>
    <row r="244" spans="1:18" x14ac:dyDescent="0.2">
      <c r="A244" s="8">
        <v>12350</v>
      </c>
      <c r="B244" s="77" t="str">
        <f t="shared" si="64"/>
        <v>Cowra</v>
      </c>
      <c r="C244" s="9" t="str">
        <f t="shared" si="65"/>
        <v>NetWaste</v>
      </c>
      <c r="D244" s="45" t="str">
        <f t="shared" si="66"/>
        <v>N</v>
      </c>
      <c r="E244" s="10" t="str">
        <f t="shared" si="67"/>
        <v>CNJO</v>
      </c>
      <c r="F244" s="10">
        <f t="shared" si="68"/>
        <v>12659</v>
      </c>
      <c r="G244" s="10">
        <f t="shared" si="69"/>
        <v>7602</v>
      </c>
      <c r="H244" s="10">
        <f t="shared" si="70"/>
        <v>1.6652196790318337</v>
      </c>
      <c r="I244" s="10">
        <f t="shared" si="71"/>
        <v>2808.8</v>
      </c>
      <c r="J244" s="10">
        <f t="shared" si="72"/>
        <v>4.5</v>
      </c>
      <c r="K244" s="10">
        <f t="shared" si="73"/>
        <v>738</v>
      </c>
      <c r="L244" s="10">
        <f t="shared" si="74"/>
        <v>0</v>
      </c>
      <c r="M244" s="10">
        <f t="shared" si="75"/>
        <v>4719</v>
      </c>
      <c r="N244" s="10">
        <f t="shared" si="76"/>
        <v>4552</v>
      </c>
      <c r="O244" s="10">
        <f t="shared" si="77"/>
        <v>0</v>
      </c>
      <c r="P244" s="10">
        <f t="shared" si="78"/>
        <v>0</v>
      </c>
      <c r="Q244" s="10">
        <f t="shared" si="79"/>
        <v>0</v>
      </c>
      <c r="R244" s="10">
        <f t="shared" si="80"/>
        <v>7602</v>
      </c>
    </row>
    <row r="245" spans="1:18" x14ac:dyDescent="0.2">
      <c r="A245" s="8">
        <v>12390</v>
      </c>
      <c r="B245" s="77" t="str">
        <f t="shared" si="64"/>
        <v>Dubbo Regional</v>
      </c>
      <c r="C245" s="9" t="str">
        <f t="shared" si="65"/>
        <v>NetWaste</v>
      </c>
      <c r="D245" s="45" t="str">
        <f t="shared" si="66"/>
        <v>N</v>
      </c>
      <c r="E245" s="10">
        <f t="shared" si="67"/>
        <v>0</v>
      </c>
      <c r="F245" s="10">
        <f t="shared" si="68"/>
        <v>56558</v>
      </c>
      <c r="G245" s="10">
        <f t="shared" si="69"/>
        <v>20902</v>
      </c>
      <c r="H245" s="10">
        <f t="shared" si="70"/>
        <v>2.7058654674193856</v>
      </c>
      <c r="I245" s="10">
        <f t="shared" si="71"/>
        <v>7534.5</v>
      </c>
      <c r="J245" s="10">
        <f t="shared" si="72"/>
        <v>7.5</v>
      </c>
      <c r="K245" s="10">
        <f t="shared" si="73"/>
        <v>414.17</v>
      </c>
      <c r="L245" s="10">
        <f t="shared" si="74"/>
        <v>0</v>
      </c>
      <c r="M245" s="10">
        <f t="shared" si="75"/>
        <v>20129</v>
      </c>
      <c r="N245" s="10">
        <f t="shared" si="76"/>
        <v>20136</v>
      </c>
      <c r="O245" s="10">
        <f t="shared" si="77"/>
        <v>0</v>
      </c>
      <c r="P245" s="10">
        <f t="shared" si="78"/>
        <v>16546</v>
      </c>
      <c r="Q245" s="10">
        <f t="shared" si="79"/>
        <v>20902</v>
      </c>
      <c r="R245" s="10">
        <f t="shared" si="80"/>
        <v>20902</v>
      </c>
    </row>
    <row r="246" spans="1:18" x14ac:dyDescent="0.2">
      <c r="A246" s="8">
        <v>12730</v>
      </c>
      <c r="B246" s="77" t="str">
        <f t="shared" si="64"/>
        <v>Edward River</v>
      </c>
      <c r="C246" s="9" t="str">
        <f t="shared" si="65"/>
        <v>RAMJO Murray</v>
      </c>
      <c r="D246" s="45" t="str">
        <f t="shared" si="66"/>
        <v>N</v>
      </c>
      <c r="E246" s="10" t="str">
        <f t="shared" si="67"/>
        <v>RMJO</v>
      </c>
      <c r="F246" s="10">
        <f t="shared" si="68"/>
        <v>8430</v>
      </c>
      <c r="G246" s="10">
        <f t="shared" si="69"/>
        <v>5027</v>
      </c>
      <c r="H246" s="10">
        <f t="shared" si="70"/>
        <v>1.6769444997016112</v>
      </c>
      <c r="I246" s="10">
        <f t="shared" si="71"/>
        <v>8883.4</v>
      </c>
      <c r="J246" s="10">
        <f t="shared" si="72"/>
        <v>0.9</v>
      </c>
      <c r="K246" s="10">
        <f t="shared" si="73"/>
        <v>408</v>
      </c>
      <c r="L246" s="10">
        <f t="shared" si="74"/>
        <v>0</v>
      </c>
      <c r="M246" s="10">
        <f t="shared" si="75"/>
        <v>3767</v>
      </c>
      <c r="N246" s="10">
        <f t="shared" si="76"/>
        <v>0</v>
      </c>
      <c r="O246" s="10">
        <f t="shared" si="77"/>
        <v>0</v>
      </c>
      <c r="P246" s="10">
        <f t="shared" si="78"/>
        <v>0</v>
      </c>
      <c r="Q246" s="10">
        <f t="shared" si="79"/>
        <v>0</v>
      </c>
      <c r="R246" s="10">
        <f t="shared" si="80"/>
        <v>5027</v>
      </c>
    </row>
    <row r="247" spans="1:18" x14ac:dyDescent="0.2">
      <c r="A247" s="8">
        <v>12750</v>
      </c>
      <c r="B247" s="77" t="str">
        <f t="shared" si="64"/>
        <v>Eurobodalla</v>
      </c>
      <c r="C247" s="9" t="str">
        <f t="shared" si="65"/>
        <v>CRJO</v>
      </c>
      <c r="D247" s="45" t="str">
        <f t="shared" si="66"/>
        <v>N</v>
      </c>
      <c r="E247" s="10" t="str">
        <f t="shared" si="67"/>
        <v>CRJO</v>
      </c>
      <c r="F247" s="10">
        <f t="shared" si="68"/>
        <v>40912</v>
      </c>
      <c r="G247" s="10">
        <f t="shared" si="69"/>
        <v>25137</v>
      </c>
      <c r="H247" s="10">
        <f t="shared" si="70"/>
        <v>1.6275609659068306</v>
      </c>
      <c r="I247" s="10">
        <f t="shared" si="71"/>
        <v>3428.2</v>
      </c>
      <c r="J247" s="10">
        <f t="shared" si="72"/>
        <v>11.9</v>
      </c>
      <c r="K247" s="10">
        <f t="shared" si="73"/>
        <v>324.35000000000002</v>
      </c>
      <c r="L247" s="10">
        <f t="shared" si="74"/>
        <v>0</v>
      </c>
      <c r="M247" s="10">
        <f t="shared" si="75"/>
        <v>23758</v>
      </c>
      <c r="N247" s="10">
        <f t="shared" si="76"/>
        <v>23533</v>
      </c>
      <c r="O247" s="10">
        <f t="shared" si="77"/>
        <v>22664</v>
      </c>
      <c r="P247" s="10">
        <f t="shared" si="78"/>
        <v>0</v>
      </c>
      <c r="Q247" s="10">
        <f t="shared" si="79"/>
        <v>25137</v>
      </c>
      <c r="R247" s="10">
        <f t="shared" si="80"/>
        <v>25137</v>
      </c>
    </row>
    <row r="248" spans="1:18" x14ac:dyDescent="0.2">
      <c r="A248" s="8">
        <v>12870</v>
      </c>
      <c r="B248" s="77" t="str">
        <f t="shared" si="64"/>
        <v>Federation</v>
      </c>
      <c r="C248" s="9" t="str">
        <f t="shared" si="65"/>
        <v>RAMJO Murray</v>
      </c>
      <c r="D248" s="45" t="str">
        <f t="shared" si="66"/>
        <v>N</v>
      </c>
      <c r="E248" s="10" t="str">
        <f t="shared" si="67"/>
        <v>RMJO</v>
      </c>
      <c r="F248" s="10">
        <f t="shared" si="68"/>
        <v>12939</v>
      </c>
      <c r="G248" s="10">
        <f t="shared" si="69"/>
        <v>9904</v>
      </c>
      <c r="H248" s="10">
        <f t="shared" si="70"/>
        <v>1.3064418416801293</v>
      </c>
      <c r="I248" s="10">
        <f t="shared" si="71"/>
        <v>5684.9</v>
      </c>
      <c r="J248" s="10">
        <f t="shared" si="72"/>
        <v>2.2999999999999998</v>
      </c>
      <c r="K248" s="10">
        <f t="shared" si="73"/>
        <v>425</v>
      </c>
      <c r="L248" s="10">
        <f t="shared" si="74"/>
        <v>0</v>
      </c>
      <c r="M248" s="10">
        <f t="shared" si="75"/>
        <v>6050</v>
      </c>
      <c r="N248" s="10">
        <f t="shared" si="76"/>
        <v>5643</v>
      </c>
      <c r="O248" s="10">
        <f t="shared" si="77"/>
        <v>0</v>
      </c>
      <c r="P248" s="10">
        <f t="shared" si="78"/>
        <v>5636</v>
      </c>
      <c r="Q248" s="10">
        <f t="shared" si="79"/>
        <v>0</v>
      </c>
      <c r="R248" s="10">
        <f t="shared" si="80"/>
        <v>0</v>
      </c>
    </row>
    <row r="249" spans="1:18" x14ac:dyDescent="0.2">
      <c r="A249" s="8">
        <v>12900</v>
      </c>
      <c r="B249" s="77" t="str">
        <f t="shared" si="64"/>
        <v>Forbes</v>
      </c>
      <c r="C249" s="9" t="str">
        <f t="shared" si="65"/>
        <v>NetWaste</v>
      </c>
      <c r="D249" s="45" t="str">
        <f t="shared" si="66"/>
        <v>N</v>
      </c>
      <c r="E249" s="10" t="str">
        <f t="shared" si="67"/>
        <v>CNJO</v>
      </c>
      <c r="F249" s="10">
        <f t="shared" si="68"/>
        <v>9300</v>
      </c>
      <c r="G249" s="10">
        <f t="shared" si="69"/>
        <v>4379</v>
      </c>
      <c r="H249" s="10">
        <f t="shared" si="70"/>
        <v>2.1237725508106875</v>
      </c>
      <c r="I249" s="10">
        <f t="shared" si="71"/>
        <v>4710.1000000000004</v>
      </c>
      <c r="J249" s="10">
        <f t="shared" si="72"/>
        <v>2</v>
      </c>
      <c r="K249" s="10">
        <f t="shared" si="73"/>
        <v>585</v>
      </c>
      <c r="L249" s="10">
        <f t="shared" si="74"/>
        <v>0</v>
      </c>
      <c r="M249" s="10">
        <f t="shared" si="75"/>
        <v>2491</v>
      </c>
      <c r="N249" s="10">
        <f t="shared" si="76"/>
        <v>3791</v>
      </c>
      <c r="O249" s="10">
        <f t="shared" si="77"/>
        <v>0</v>
      </c>
      <c r="P249" s="10">
        <f t="shared" si="78"/>
        <v>3416</v>
      </c>
      <c r="Q249" s="10">
        <f t="shared" si="79"/>
        <v>4379</v>
      </c>
      <c r="R249" s="10">
        <f t="shared" si="80"/>
        <v>4379</v>
      </c>
    </row>
    <row r="250" spans="1:18" x14ac:dyDescent="0.2">
      <c r="A250" s="8">
        <v>12950</v>
      </c>
      <c r="B250" s="77" t="str">
        <f t="shared" si="64"/>
        <v>Gilgandra</v>
      </c>
      <c r="C250" s="9" t="str">
        <f t="shared" si="65"/>
        <v>NetWaste</v>
      </c>
      <c r="D250" s="45" t="str">
        <f t="shared" si="66"/>
        <v>N</v>
      </c>
      <c r="E250" s="10" t="str">
        <f t="shared" si="67"/>
        <v>OJO</v>
      </c>
      <c r="F250" s="10">
        <f t="shared" si="68"/>
        <v>4309</v>
      </c>
      <c r="G250" s="10">
        <f t="shared" si="69"/>
        <v>2572</v>
      </c>
      <c r="H250" s="10">
        <f t="shared" si="70"/>
        <v>1.6753499222395023</v>
      </c>
      <c r="I250" s="10">
        <f t="shared" si="71"/>
        <v>4831.5</v>
      </c>
      <c r="J250" s="10">
        <f t="shared" si="72"/>
        <v>0.9</v>
      </c>
      <c r="K250" s="10">
        <f t="shared" si="73"/>
        <v>464</v>
      </c>
      <c r="L250" s="10">
        <f t="shared" si="74"/>
        <v>0</v>
      </c>
      <c r="M250" s="10">
        <f t="shared" si="75"/>
        <v>2173</v>
      </c>
      <c r="N250" s="10">
        <f t="shared" si="76"/>
        <v>2151</v>
      </c>
      <c r="O250" s="10">
        <f t="shared" si="77"/>
        <v>0</v>
      </c>
      <c r="P250" s="10">
        <f t="shared" si="78"/>
        <v>0</v>
      </c>
      <c r="Q250" s="10">
        <f t="shared" si="79"/>
        <v>0</v>
      </c>
      <c r="R250" s="10">
        <f t="shared" si="80"/>
        <v>2572</v>
      </c>
    </row>
    <row r="251" spans="1:18" x14ac:dyDescent="0.2">
      <c r="A251" s="8">
        <v>13010</v>
      </c>
      <c r="B251" s="77" t="str">
        <f t="shared" si="64"/>
        <v>Glen Innes Severn</v>
      </c>
      <c r="C251" s="9" t="str">
        <f t="shared" si="65"/>
        <v>NIRW</v>
      </c>
      <c r="D251" s="45" t="str">
        <f t="shared" si="66"/>
        <v>N</v>
      </c>
      <c r="E251" s="10" t="str">
        <f t="shared" si="67"/>
        <v>NEJO</v>
      </c>
      <c r="F251" s="10">
        <f t="shared" si="68"/>
        <v>8989</v>
      </c>
      <c r="G251" s="10">
        <f t="shared" si="69"/>
        <v>5391</v>
      </c>
      <c r="H251" s="10">
        <f t="shared" si="70"/>
        <v>1.6674086440363569</v>
      </c>
      <c r="I251" s="10">
        <f t="shared" si="71"/>
        <v>5480</v>
      </c>
      <c r="J251" s="10">
        <f t="shared" si="72"/>
        <v>1.6</v>
      </c>
      <c r="K251" s="10">
        <f t="shared" si="73"/>
        <v>360</v>
      </c>
      <c r="L251" s="10">
        <f t="shared" si="74"/>
        <v>0</v>
      </c>
      <c r="M251" s="10">
        <f t="shared" si="75"/>
        <v>3905</v>
      </c>
      <c r="N251" s="10">
        <f t="shared" si="76"/>
        <v>3905</v>
      </c>
      <c r="O251" s="10">
        <f t="shared" si="77"/>
        <v>0</v>
      </c>
      <c r="P251" s="10">
        <f t="shared" si="78"/>
        <v>0</v>
      </c>
      <c r="Q251" s="10">
        <f t="shared" si="79"/>
        <v>0</v>
      </c>
      <c r="R251" s="10">
        <f t="shared" si="80"/>
        <v>5391</v>
      </c>
    </row>
    <row r="252" spans="1:18" x14ac:dyDescent="0.2">
      <c r="A252" s="8">
        <v>13310</v>
      </c>
      <c r="B252" s="77" t="str">
        <f t="shared" si="64"/>
        <v>Goulburn Mulwaree</v>
      </c>
      <c r="C252" s="9" t="str">
        <f t="shared" si="65"/>
        <v>CRJO</v>
      </c>
      <c r="D252" s="45" t="str">
        <f t="shared" si="66"/>
        <v>N</v>
      </c>
      <c r="E252" s="10" t="str">
        <f t="shared" si="67"/>
        <v>CRJO</v>
      </c>
      <c r="F252" s="10">
        <f t="shared" si="68"/>
        <v>32710</v>
      </c>
      <c r="G252" s="10">
        <f t="shared" si="69"/>
        <v>17722</v>
      </c>
      <c r="H252" s="10">
        <f t="shared" si="70"/>
        <v>1.845728473084302</v>
      </c>
      <c r="I252" s="10">
        <f t="shared" si="71"/>
        <v>3220.1</v>
      </c>
      <c r="J252" s="10">
        <f t="shared" si="72"/>
        <v>10.199999999999999</v>
      </c>
      <c r="K252" s="10">
        <f t="shared" si="73"/>
        <v>402</v>
      </c>
      <c r="L252" s="10">
        <f t="shared" si="74"/>
        <v>0</v>
      </c>
      <c r="M252" s="10">
        <f t="shared" si="75"/>
        <v>11207</v>
      </c>
      <c r="N252" s="10">
        <f t="shared" si="76"/>
        <v>12261</v>
      </c>
      <c r="O252" s="10">
        <f t="shared" si="77"/>
        <v>0</v>
      </c>
      <c r="P252" s="10">
        <f t="shared" si="78"/>
        <v>12278</v>
      </c>
      <c r="Q252" s="10">
        <f t="shared" si="79"/>
        <v>17722</v>
      </c>
      <c r="R252" s="10">
        <f t="shared" si="80"/>
        <v>17722</v>
      </c>
    </row>
    <row r="253" spans="1:18" x14ac:dyDescent="0.2">
      <c r="A253" s="8">
        <v>13340</v>
      </c>
      <c r="B253" s="77" t="str">
        <f t="shared" si="64"/>
        <v>Greater Hume Shire</v>
      </c>
      <c r="C253" s="9" t="str">
        <f t="shared" si="65"/>
        <v>REROC</v>
      </c>
      <c r="D253" s="45" t="str">
        <f t="shared" si="66"/>
        <v>N</v>
      </c>
      <c r="E253" s="10" t="str">
        <f t="shared" si="67"/>
        <v>RJO</v>
      </c>
      <c r="F253" s="10">
        <f t="shared" si="68"/>
        <v>11445</v>
      </c>
      <c r="G253" s="10">
        <f t="shared" si="69"/>
        <v>7118</v>
      </c>
      <c r="H253" s="10">
        <f t="shared" si="70"/>
        <v>1.6078954762573756</v>
      </c>
      <c r="I253" s="10">
        <f t="shared" si="71"/>
        <v>5749.4</v>
      </c>
      <c r="J253" s="10">
        <f t="shared" si="72"/>
        <v>2</v>
      </c>
      <c r="K253" s="10">
        <f t="shared" si="73"/>
        <v>264</v>
      </c>
      <c r="L253" s="10">
        <f t="shared" si="74"/>
        <v>0</v>
      </c>
      <c r="M253" s="10">
        <f t="shared" si="75"/>
        <v>3319</v>
      </c>
      <c r="N253" s="10">
        <f t="shared" si="76"/>
        <v>3319</v>
      </c>
      <c r="O253" s="10">
        <f t="shared" si="77"/>
        <v>0</v>
      </c>
      <c r="P253" s="10">
        <f t="shared" si="78"/>
        <v>0</v>
      </c>
      <c r="Q253" s="10">
        <f t="shared" si="79"/>
        <v>0</v>
      </c>
      <c r="R253" s="10">
        <f t="shared" si="80"/>
        <v>7118</v>
      </c>
    </row>
    <row r="254" spans="1:18" x14ac:dyDescent="0.2">
      <c r="A254" s="8">
        <v>13450</v>
      </c>
      <c r="B254" s="77" t="str">
        <f t="shared" si="64"/>
        <v>Griffith</v>
      </c>
      <c r="C254" s="9" t="str">
        <f t="shared" si="65"/>
        <v>RAMJO Riverina</v>
      </c>
      <c r="D254" s="45" t="str">
        <f t="shared" si="66"/>
        <v>N</v>
      </c>
      <c r="E254" s="10" t="str">
        <f t="shared" si="67"/>
        <v>RMJO</v>
      </c>
      <c r="F254" s="10">
        <f t="shared" si="68"/>
        <v>27132</v>
      </c>
      <c r="G254" s="10">
        <f t="shared" si="69"/>
        <v>11711</v>
      </c>
      <c r="H254" s="10">
        <f t="shared" si="70"/>
        <v>2.3167961745367602</v>
      </c>
      <c r="I254" s="10">
        <f t="shared" si="71"/>
        <v>1639.2</v>
      </c>
      <c r="J254" s="10">
        <f t="shared" si="72"/>
        <v>16.600000000000001</v>
      </c>
      <c r="K254" s="10">
        <f t="shared" si="73"/>
        <v>341</v>
      </c>
      <c r="L254" s="10">
        <f t="shared" si="74"/>
        <v>0</v>
      </c>
      <c r="M254" s="10">
        <f t="shared" si="75"/>
        <v>8738</v>
      </c>
      <c r="N254" s="10">
        <f t="shared" si="76"/>
        <v>8738</v>
      </c>
      <c r="O254" s="10">
        <f t="shared" si="77"/>
        <v>0</v>
      </c>
      <c r="P254" s="10">
        <f t="shared" si="78"/>
        <v>0</v>
      </c>
      <c r="Q254" s="10">
        <f t="shared" si="79"/>
        <v>0</v>
      </c>
      <c r="R254" s="10">
        <f t="shared" si="80"/>
        <v>11711</v>
      </c>
    </row>
    <row r="255" spans="1:18" x14ac:dyDescent="0.2">
      <c r="A255" s="8">
        <v>13550</v>
      </c>
      <c r="B255" s="77" t="str">
        <f t="shared" si="64"/>
        <v>Gunnedah</v>
      </c>
      <c r="C255" s="9" t="str">
        <f t="shared" si="65"/>
        <v>NIRW</v>
      </c>
      <c r="D255" s="45" t="str">
        <f t="shared" si="66"/>
        <v>N</v>
      </c>
      <c r="E255" s="10" t="str">
        <f t="shared" si="67"/>
        <v>NJO</v>
      </c>
      <c r="F255" s="10">
        <f t="shared" si="68"/>
        <v>13280</v>
      </c>
      <c r="G255" s="10">
        <f t="shared" si="69"/>
        <v>5467</v>
      </c>
      <c r="H255" s="10">
        <f t="shared" si="70"/>
        <v>2.4291201755990488</v>
      </c>
      <c r="I255" s="10">
        <f t="shared" si="71"/>
        <v>4987</v>
      </c>
      <c r="J255" s="10">
        <f t="shared" si="72"/>
        <v>2.7</v>
      </c>
      <c r="K255" s="10">
        <f t="shared" si="73"/>
        <v>440</v>
      </c>
      <c r="L255" s="10">
        <f t="shared" si="74"/>
        <v>0</v>
      </c>
      <c r="M255" s="10">
        <f t="shared" si="75"/>
        <v>5084</v>
      </c>
      <c r="N255" s="10">
        <f t="shared" si="76"/>
        <v>4966</v>
      </c>
      <c r="O255" s="10">
        <f t="shared" si="77"/>
        <v>3545</v>
      </c>
      <c r="P255" s="10">
        <f t="shared" si="78"/>
        <v>0</v>
      </c>
      <c r="Q255" s="10">
        <f t="shared" si="79"/>
        <v>0</v>
      </c>
      <c r="R255" s="10">
        <f t="shared" si="80"/>
        <v>5467</v>
      </c>
    </row>
    <row r="256" spans="1:18" x14ac:dyDescent="0.2">
      <c r="A256" s="8">
        <v>13660</v>
      </c>
      <c r="B256" s="77" t="str">
        <f t="shared" si="64"/>
        <v>Gwydir</v>
      </c>
      <c r="C256" s="9" t="str">
        <f t="shared" si="65"/>
        <v>NIRW</v>
      </c>
      <c r="D256" s="45" t="str">
        <f t="shared" si="66"/>
        <v>N</v>
      </c>
      <c r="E256" s="10" t="str">
        <f t="shared" si="67"/>
        <v>NJO</v>
      </c>
      <c r="F256" s="10">
        <f t="shared" si="68"/>
        <v>4940</v>
      </c>
      <c r="G256" s="10">
        <f t="shared" si="69"/>
        <v>3302</v>
      </c>
      <c r="H256" s="10">
        <f t="shared" si="70"/>
        <v>1.4960629921259843</v>
      </c>
      <c r="I256" s="10">
        <f t="shared" si="71"/>
        <v>9259.7000000000007</v>
      </c>
      <c r="J256" s="10">
        <f t="shared" si="72"/>
        <v>0.5</v>
      </c>
      <c r="K256" s="10">
        <f t="shared" si="73"/>
        <v>380</v>
      </c>
      <c r="L256" s="10">
        <f t="shared" si="74"/>
        <v>0</v>
      </c>
      <c r="M256" s="10">
        <f t="shared" si="75"/>
        <v>1360</v>
      </c>
      <c r="N256" s="10">
        <f t="shared" si="76"/>
        <v>1360</v>
      </c>
      <c r="O256" s="10">
        <f t="shared" si="77"/>
        <v>0</v>
      </c>
      <c r="P256" s="10">
        <f t="shared" si="78"/>
        <v>1360</v>
      </c>
      <c r="Q256" s="10">
        <f t="shared" si="79"/>
        <v>0</v>
      </c>
      <c r="R256" s="10">
        <f t="shared" si="80"/>
        <v>3302</v>
      </c>
    </row>
    <row r="257" spans="1:18" x14ac:dyDescent="0.2">
      <c r="A257" s="8">
        <v>13850</v>
      </c>
      <c r="B257" s="77" t="str">
        <f t="shared" ref="B257:B291" si="81">VLOOKUP($A257,$A$5:$K$132,2,FALSE)</f>
        <v>Hay</v>
      </c>
      <c r="C257" s="9" t="str">
        <f t="shared" ref="C257:C291" si="82">VLOOKUP($A257,$A$5:$K$133,3,FALSE)</f>
        <v>RAMJO Riverina</v>
      </c>
      <c r="D257" s="45" t="str">
        <f t="shared" ref="D257:D291" si="83">VLOOKUP($A257,$A$5:$K$133,4,FALSE)</f>
        <v>N</v>
      </c>
      <c r="E257" s="10" t="str">
        <f t="shared" ref="E257:E291" si="84">VLOOKUP($A257,$A$5:$R$132,5,FALSE)</f>
        <v>RMJO</v>
      </c>
      <c r="F257" s="10">
        <f t="shared" ref="F257:F291" si="85">VLOOKUP($A257,$A$5:$R$132,6,FALSE)</f>
        <v>2830</v>
      </c>
      <c r="G257" s="10">
        <f t="shared" ref="G257:G291" si="86">VLOOKUP($A257,$A$5:$R$132,7,FALSE)</f>
        <v>1799</v>
      </c>
      <c r="H257" s="10">
        <f t="shared" ref="H257:H291" si="87">VLOOKUP($A257,$A$5:$R$132,8,FALSE)</f>
        <v>1.5730961645358532</v>
      </c>
      <c r="I257" s="10">
        <f t="shared" ref="I257:I291" si="88">VLOOKUP($A257,$A$5:$R$132,9,FALSE)</f>
        <v>11325.9</v>
      </c>
      <c r="J257" s="10">
        <f t="shared" ref="J257:J291" si="89">VLOOKUP($A257,$A$5:$R$132,10,FALSE)</f>
        <v>0.2</v>
      </c>
      <c r="K257" s="10">
        <f t="shared" ref="K257:K291" si="90">VLOOKUP($A257,$A$5:$R$132,11,FALSE)</f>
        <v>348</v>
      </c>
      <c r="L257" s="10">
        <f t="shared" ref="L257:L291" si="91">VLOOKUP($A257,$A$4:$R$132,12,FALSE)</f>
        <v>0</v>
      </c>
      <c r="M257" s="10">
        <f t="shared" ref="M257:M291" si="92">VLOOKUP($A257,$A$4:$R$132,13,FALSE)</f>
        <v>1325</v>
      </c>
      <c r="N257" s="10">
        <f t="shared" ref="N257:N291" si="93">VLOOKUP($A257,$A$4:$R$132,14,FALSE)</f>
        <v>0</v>
      </c>
      <c r="O257" s="10">
        <f t="shared" ref="O257:O291" si="94">VLOOKUP($A257,$A$4:$R$132,15,FALSE)</f>
        <v>0</v>
      </c>
      <c r="P257" s="10">
        <f t="shared" ref="P257:P291" si="95">VLOOKUP($A257,$A$4:$R$132,16,FALSE)</f>
        <v>0</v>
      </c>
      <c r="Q257" s="10">
        <f t="shared" ref="Q257:Q291" si="96">VLOOKUP($A257,$A$4:$R$132,17,FALSE)</f>
        <v>0</v>
      </c>
      <c r="R257" s="10">
        <f t="shared" ref="R257:R291" si="97">VLOOKUP($A257,$A$4:$R$132,18,FALSE)</f>
        <v>1799</v>
      </c>
    </row>
    <row r="258" spans="1:18" x14ac:dyDescent="0.2">
      <c r="A258" s="8">
        <v>13910</v>
      </c>
      <c r="B258" s="77" t="str">
        <f t="shared" si="81"/>
        <v>Hilltops</v>
      </c>
      <c r="C258" s="9" t="str">
        <f t="shared" si="82"/>
        <v>CRJO</v>
      </c>
      <c r="D258" s="45" t="str">
        <f t="shared" si="83"/>
        <v>N</v>
      </c>
      <c r="E258" s="10" t="str">
        <f t="shared" si="84"/>
        <v>CRJO</v>
      </c>
      <c r="F258" s="10">
        <f t="shared" si="85"/>
        <v>19255</v>
      </c>
      <c r="G258" s="10">
        <f t="shared" si="86"/>
        <v>11461</v>
      </c>
      <c r="H258" s="10">
        <f t="shared" si="87"/>
        <v>1.6800453712590524</v>
      </c>
      <c r="I258" s="10">
        <f t="shared" si="88"/>
        <v>7140.9</v>
      </c>
      <c r="J258" s="10">
        <f t="shared" si="89"/>
        <v>2.7</v>
      </c>
      <c r="K258" s="10">
        <f t="shared" si="90"/>
        <v>521.04</v>
      </c>
      <c r="L258" s="10">
        <f t="shared" si="91"/>
        <v>0</v>
      </c>
      <c r="M258" s="10">
        <f t="shared" si="92"/>
        <v>5597</v>
      </c>
      <c r="N258" s="10">
        <f t="shared" si="93"/>
        <v>5384</v>
      </c>
      <c r="O258" s="10">
        <f t="shared" si="94"/>
        <v>4700</v>
      </c>
      <c r="P258" s="10">
        <f t="shared" si="95"/>
        <v>0</v>
      </c>
      <c r="Q258" s="10">
        <f t="shared" si="96"/>
        <v>0</v>
      </c>
      <c r="R258" s="10">
        <f t="shared" si="97"/>
        <v>11461</v>
      </c>
    </row>
    <row r="259" spans="1:18" x14ac:dyDescent="0.2">
      <c r="A259" s="8">
        <v>14220</v>
      </c>
      <c r="B259" s="77" t="str">
        <f t="shared" si="81"/>
        <v>Inverell</v>
      </c>
      <c r="C259" s="9" t="str">
        <f t="shared" si="82"/>
        <v>NIRW</v>
      </c>
      <c r="D259" s="45" t="str">
        <f t="shared" si="83"/>
        <v>N</v>
      </c>
      <c r="E259" s="10" t="str">
        <f t="shared" si="84"/>
        <v>NEJO</v>
      </c>
      <c r="F259" s="10">
        <f t="shared" si="85"/>
        <v>18059</v>
      </c>
      <c r="G259" s="10">
        <f t="shared" si="86"/>
        <v>8908</v>
      </c>
      <c r="H259" s="10">
        <f t="shared" si="87"/>
        <v>2.0272788504714865</v>
      </c>
      <c r="I259" s="10">
        <f t="shared" si="88"/>
        <v>9404.7999999999993</v>
      </c>
      <c r="J259" s="10">
        <f t="shared" si="89"/>
        <v>1.9</v>
      </c>
      <c r="K259" s="10">
        <f t="shared" si="90"/>
        <v>398</v>
      </c>
      <c r="L259" s="10">
        <f t="shared" si="91"/>
        <v>0</v>
      </c>
      <c r="M259" s="10">
        <f t="shared" si="92"/>
        <v>6987</v>
      </c>
      <c r="N259" s="10">
        <f t="shared" si="93"/>
        <v>6987</v>
      </c>
      <c r="O259" s="10">
        <f t="shared" si="94"/>
        <v>0</v>
      </c>
      <c r="P259" s="10">
        <f t="shared" si="95"/>
        <v>0</v>
      </c>
      <c r="Q259" s="10">
        <f t="shared" si="96"/>
        <v>8908</v>
      </c>
      <c r="R259" s="10">
        <f t="shared" si="97"/>
        <v>8908</v>
      </c>
    </row>
    <row r="260" spans="1:18" x14ac:dyDescent="0.2">
      <c r="A260" s="8">
        <v>14300</v>
      </c>
      <c r="B260" s="77" t="str">
        <f t="shared" si="81"/>
        <v>Junee</v>
      </c>
      <c r="C260" s="9" t="str">
        <f t="shared" si="82"/>
        <v>REROC</v>
      </c>
      <c r="D260" s="45" t="str">
        <f t="shared" si="83"/>
        <v>N</v>
      </c>
      <c r="E260" s="10" t="str">
        <f t="shared" si="84"/>
        <v>RJO</v>
      </c>
      <c r="F260" s="10">
        <f t="shared" si="85"/>
        <v>6520</v>
      </c>
      <c r="G260" s="10">
        <f t="shared" si="86"/>
        <v>3109</v>
      </c>
      <c r="H260" s="10">
        <f t="shared" si="87"/>
        <v>2.0971373431971694</v>
      </c>
      <c r="I260" s="10">
        <f t="shared" si="88"/>
        <v>2030</v>
      </c>
      <c r="J260" s="10">
        <f t="shared" si="89"/>
        <v>3.2</v>
      </c>
      <c r="K260" s="10">
        <f t="shared" si="90"/>
        <v>452</v>
      </c>
      <c r="L260" s="10">
        <f t="shared" si="91"/>
        <v>0</v>
      </c>
      <c r="M260" s="10">
        <f t="shared" si="92"/>
        <v>2410</v>
      </c>
      <c r="N260" s="10">
        <f t="shared" si="93"/>
        <v>2191</v>
      </c>
      <c r="O260" s="10">
        <f t="shared" si="94"/>
        <v>0</v>
      </c>
      <c r="P260" s="10">
        <f t="shared" si="95"/>
        <v>1766</v>
      </c>
      <c r="Q260" s="10">
        <f t="shared" si="96"/>
        <v>0</v>
      </c>
      <c r="R260" s="10">
        <f t="shared" si="97"/>
        <v>3109</v>
      </c>
    </row>
    <row r="261" spans="1:18" x14ac:dyDescent="0.2">
      <c r="A261" s="8">
        <v>14600</v>
      </c>
      <c r="B261" s="77" t="str">
        <f t="shared" si="81"/>
        <v>Lachlan</v>
      </c>
      <c r="C261" s="9" t="str">
        <f t="shared" si="82"/>
        <v>NetWaste</v>
      </c>
      <c r="D261" s="45" t="str">
        <f t="shared" si="83"/>
        <v>N</v>
      </c>
      <c r="E261" s="10" t="str">
        <f t="shared" si="84"/>
        <v>CNJO</v>
      </c>
      <c r="F261" s="10">
        <f t="shared" si="85"/>
        <v>6147</v>
      </c>
      <c r="G261" s="10">
        <f t="shared" si="86"/>
        <v>5400</v>
      </c>
      <c r="H261" s="10">
        <f t="shared" si="87"/>
        <v>1.1383333333333334</v>
      </c>
      <c r="I261" s="10">
        <f t="shared" si="88"/>
        <v>14968.3</v>
      </c>
      <c r="J261" s="10">
        <f t="shared" si="89"/>
        <v>0.4</v>
      </c>
      <c r="K261" s="10">
        <f t="shared" si="90"/>
        <v>537</v>
      </c>
      <c r="L261" s="10">
        <f t="shared" si="91"/>
        <v>0</v>
      </c>
      <c r="M261" s="10">
        <f t="shared" si="92"/>
        <v>3050</v>
      </c>
      <c r="N261" s="10">
        <f t="shared" si="93"/>
        <v>3000</v>
      </c>
      <c r="O261" s="10">
        <f t="shared" si="94"/>
        <v>0</v>
      </c>
      <c r="P261" s="10">
        <f t="shared" si="95"/>
        <v>0</v>
      </c>
      <c r="Q261" s="10">
        <f t="shared" si="96"/>
        <v>0</v>
      </c>
      <c r="R261" s="10">
        <f t="shared" si="97"/>
        <v>0</v>
      </c>
    </row>
    <row r="262" spans="1:18" x14ac:dyDescent="0.2">
      <c r="A262" s="8">
        <v>14750</v>
      </c>
      <c r="B262" s="77" t="str">
        <f t="shared" si="81"/>
        <v>Leeton</v>
      </c>
      <c r="C262" s="9" t="str">
        <f t="shared" si="82"/>
        <v>RAMJO Riverina</v>
      </c>
      <c r="D262" s="45" t="str">
        <f t="shared" si="83"/>
        <v>N</v>
      </c>
      <c r="E262" s="10" t="str">
        <f t="shared" si="84"/>
        <v>RMJO</v>
      </c>
      <c r="F262" s="10">
        <f t="shared" si="85"/>
        <v>11431</v>
      </c>
      <c r="G262" s="10">
        <f t="shared" si="86"/>
        <v>5547</v>
      </c>
      <c r="H262" s="10">
        <f t="shared" si="87"/>
        <v>2.060753560483144</v>
      </c>
      <c r="I262" s="10">
        <f t="shared" si="88"/>
        <v>1167.2</v>
      </c>
      <c r="J262" s="10">
        <f t="shared" si="89"/>
        <v>9.8000000000000007</v>
      </c>
      <c r="K262" s="10">
        <f t="shared" si="90"/>
        <v>330</v>
      </c>
      <c r="L262" s="10">
        <f t="shared" si="91"/>
        <v>0</v>
      </c>
      <c r="M262" s="10">
        <f t="shared" si="92"/>
        <v>4313</v>
      </c>
      <c r="N262" s="10">
        <f t="shared" si="93"/>
        <v>3958</v>
      </c>
      <c r="O262" s="10">
        <f t="shared" si="94"/>
        <v>0</v>
      </c>
      <c r="P262" s="10">
        <f t="shared" si="95"/>
        <v>0</v>
      </c>
      <c r="Q262" s="10">
        <f t="shared" si="96"/>
        <v>0</v>
      </c>
      <c r="R262" s="10">
        <f t="shared" si="97"/>
        <v>5547</v>
      </c>
    </row>
    <row r="263" spans="1:18" x14ac:dyDescent="0.2">
      <c r="A263" s="8">
        <v>14870</v>
      </c>
      <c r="B263" s="77" t="str">
        <f t="shared" si="81"/>
        <v>Lithgow</v>
      </c>
      <c r="C263" s="9" t="str">
        <f t="shared" si="82"/>
        <v>NetWaste</v>
      </c>
      <c r="D263" s="45" t="str">
        <f t="shared" si="83"/>
        <v>N</v>
      </c>
      <c r="E263" s="10">
        <f t="shared" si="84"/>
        <v>0</v>
      </c>
      <c r="F263" s="10">
        <f t="shared" si="85"/>
        <v>20724</v>
      </c>
      <c r="G263" s="10">
        <f t="shared" si="86"/>
        <v>11670</v>
      </c>
      <c r="H263" s="10">
        <f t="shared" si="87"/>
        <v>1.7758354755784063</v>
      </c>
      <c r="I263" s="10">
        <f t="shared" si="88"/>
        <v>4512.3</v>
      </c>
      <c r="J263" s="10">
        <f t="shared" si="89"/>
        <v>4.5999999999999996</v>
      </c>
      <c r="K263" s="10">
        <f t="shared" si="90"/>
        <v>474</v>
      </c>
      <c r="L263" s="10">
        <f t="shared" si="91"/>
        <v>0</v>
      </c>
      <c r="M263" s="10">
        <f t="shared" si="92"/>
        <v>8397</v>
      </c>
      <c r="N263" s="10">
        <f t="shared" si="93"/>
        <v>8397</v>
      </c>
      <c r="O263" s="10">
        <f t="shared" si="94"/>
        <v>0</v>
      </c>
      <c r="P263" s="10">
        <f t="shared" si="95"/>
        <v>0</v>
      </c>
      <c r="Q263" s="10">
        <f t="shared" si="96"/>
        <v>11670</v>
      </c>
      <c r="R263" s="10">
        <f t="shared" si="97"/>
        <v>11670</v>
      </c>
    </row>
    <row r="264" spans="1:18" x14ac:dyDescent="0.2">
      <c r="A264" s="8">
        <v>14920</v>
      </c>
      <c r="B264" s="77" t="str">
        <f t="shared" si="81"/>
        <v>Liverpool Plains</v>
      </c>
      <c r="C264" s="9" t="str">
        <f t="shared" si="82"/>
        <v>NIRW</v>
      </c>
      <c r="D264" s="45" t="str">
        <f t="shared" si="83"/>
        <v>N</v>
      </c>
      <c r="E264" s="10" t="str">
        <f t="shared" si="84"/>
        <v>NJO</v>
      </c>
      <c r="F264" s="10">
        <f t="shared" si="85"/>
        <v>7667</v>
      </c>
      <c r="G264" s="10">
        <f t="shared" si="86"/>
        <v>3929</v>
      </c>
      <c r="H264" s="10">
        <f t="shared" si="87"/>
        <v>1.9513871214049376</v>
      </c>
      <c r="I264" s="10">
        <f t="shared" si="88"/>
        <v>5082.2</v>
      </c>
      <c r="J264" s="10">
        <f t="shared" si="89"/>
        <v>1.5</v>
      </c>
      <c r="K264" s="10">
        <f t="shared" si="90"/>
        <v>453</v>
      </c>
      <c r="L264" s="10">
        <f t="shared" si="91"/>
        <v>0</v>
      </c>
      <c r="M264" s="10">
        <f t="shared" si="92"/>
        <v>1700</v>
      </c>
      <c r="N264" s="10">
        <f t="shared" si="93"/>
        <v>1700</v>
      </c>
      <c r="O264" s="10">
        <f t="shared" si="94"/>
        <v>0</v>
      </c>
      <c r="P264" s="10">
        <f t="shared" si="95"/>
        <v>0</v>
      </c>
      <c r="Q264" s="10">
        <f t="shared" si="96"/>
        <v>3929</v>
      </c>
      <c r="R264" s="10">
        <f t="shared" si="97"/>
        <v>3929</v>
      </c>
    </row>
    <row r="265" spans="1:18" x14ac:dyDescent="0.2">
      <c r="A265" s="8">
        <v>14950</v>
      </c>
      <c r="B265" s="77" t="str">
        <f t="shared" si="81"/>
        <v>Lockhart</v>
      </c>
      <c r="C265" s="9" t="str">
        <f t="shared" si="82"/>
        <v>REROC</v>
      </c>
      <c r="D265" s="45" t="str">
        <f t="shared" si="83"/>
        <v>N</v>
      </c>
      <c r="E265" s="10" t="str">
        <f t="shared" si="84"/>
        <v>RJO</v>
      </c>
      <c r="F265" s="10">
        <f t="shared" si="85"/>
        <v>3396</v>
      </c>
      <c r="G265" s="10">
        <f t="shared" si="86"/>
        <v>2680</v>
      </c>
      <c r="H265" s="10">
        <f t="shared" si="87"/>
        <v>1.2671641791044777</v>
      </c>
      <c r="I265" s="10">
        <f t="shared" si="88"/>
        <v>2895.8</v>
      </c>
      <c r="J265" s="10">
        <f t="shared" si="89"/>
        <v>1.2</v>
      </c>
      <c r="K265" s="10">
        <f t="shared" si="90"/>
        <v>408</v>
      </c>
      <c r="L265" s="10">
        <f t="shared" si="91"/>
        <v>0</v>
      </c>
      <c r="M265" s="10">
        <f t="shared" si="92"/>
        <v>2680</v>
      </c>
      <c r="N265" s="10">
        <f t="shared" si="93"/>
        <v>2680</v>
      </c>
      <c r="O265" s="10">
        <f t="shared" si="94"/>
        <v>0</v>
      </c>
      <c r="P265" s="10">
        <f t="shared" si="95"/>
        <v>2680</v>
      </c>
      <c r="Q265" s="10">
        <f t="shared" si="96"/>
        <v>2680</v>
      </c>
      <c r="R265" s="10">
        <f t="shared" si="97"/>
        <v>2680</v>
      </c>
    </row>
    <row r="266" spans="1:18" x14ac:dyDescent="0.2">
      <c r="A266" s="8">
        <v>15270</v>
      </c>
      <c r="B266" s="77" t="str">
        <f t="shared" si="81"/>
        <v>Mid-Western Regional</v>
      </c>
      <c r="C266" s="9" t="str">
        <f t="shared" si="82"/>
        <v>NetWaste</v>
      </c>
      <c r="D266" s="45" t="str">
        <f t="shared" si="83"/>
        <v>N</v>
      </c>
      <c r="E266" s="10" t="str">
        <f t="shared" si="84"/>
        <v>OJO</v>
      </c>
      <c r="F266" s="10">
        <f t="shared" si="85"/>
        <v>25921</v>
      </c>
      <c r="G266" s="10">
        <f t="shared" si="86"/>
        <v>16004</v>
      </c>
      <c r="H266" s="10">
        <f t="shared" si="87"/>
        <v>1.6196575856035991</v>
      </c>
      <c r="I266" s="10">
        <f t="shared" si="88"/>
        <v>8752.2999999999993</v>
      </c>
      <c r="J266" s="10">
        <f t="shared" si="89"/>
        <v>3</v>
      </c>
      <c r="K266" s="10">
        <f t="shared" si="90"/>
        <v>315</v>
      </c>
      <c r="L266" s="10">
        <f t="shared" si="91"/>
        <v>0</v>
      </c>
      <c r="M266" s="10">
        <f t="shared" si="92"/>
        <v>8399</v>
      </c>
      <c r="N266" s="10">
        <f t="shared" si="93"/>
        <v>16798</v>
      </c>
      <c r="O266" s="10">
        <f t="shared" si="94"/>
        <v>0</v>
      </c>
      <c r="P266" s="10">
        <f t="shared" si="95"/>
        <v>8399</v>
      </c>
      <c r="Q266" s="10">
        <f t="shared" si="96"/>
        <v>0</v>
      </c>
      <c r="R266" s="10">
        <f t="shared" si="97"/>
        <v>16004</v>
      </c>
    </row>
    <row r="267" spans="1:18" x14ac:dyDescent="0.2">
      <c r="A267" s="8">
        <v>15300</v>
      </c>
      <c r="B267" s="77" t="str">
        <f t="shared" si="81"/>
        <v>Moree Plains</v>
      </c>
      <c r="C267" s="9" t="str">
        <f t="shared" si="82"/>
        <v>NIRW</v>
      </c>
      <c r="D267" s="45" t="str">
        <f t="shared" si="83"/>
        <v>N</v>
      </c>
      <c r="E267" s="10" t="str">
        <f t="shared" si="84"/>
        <v>NEJO</v>
      </c>
      <c r="F267" s="10">
        <f t="shared" si="85"/>
        <v>12873</v>
      </c>
      <c r="G267" s="10">
        <f t="shared" si="86"/>
        <v>6359</v>
      </c>
      <c r="H267" s="10">
        <f t="shared" si="87"/>
        <v>2.0243749017141059</v>
      </c>
      <c r="I267" s="10">
        <f t="shared" si="88"/>
        <v>17902.7</v>
      </c>
      <c r="J267" s="10">
        <f t="shared" si="89"/>
        <v>0.7</v>
      </c>
      <c r="K267" s="10">
        <f t="shared" si="90"/>
        <v>381.65</v>
      </c>
      <c r="L267" s="10">
        <f t="shared" si="91"/>
        <v>0</v>
      </c>
      <c r="M267" s="10">
        <f t="shared" si="92"/>
        <v>4577</v>
      </c>
      <c r="N267" s="10">
        <f t="shared" si="93"/>
        <v>4638</v>
      </c>
      <c r="O267" s="10">
        <f t="shared" si="94"/>
        <v>0</v>
      </c>
      <c r="P267" s="10">
        <f t="shared" si="95"/>
        <v>4577</v>
      </c>
      <c r="Q267" s="10">
        <f t="shared" si="96"/>
        <v>6359</v>
      </c>
      <c r="R267" s="10">
        <f t="shared" si="97"/>
        <v>6359</v>
      </c>
    </row>
    <row r="268" spans="1:18" x14ac:dyDescent="0.2">
      <c r="A268" s="8">
        <v>15520</v>
      </c>
      <c r="B268" s="77" t="str">
        <f t="shared" si="81"/>
        <v>Murray River</v>
      </c>
      <c r="C268" s="9" t="str">
        <f t="shared" si="82"/>
        <v>RAMJO Murray</v>
      </c>
      <c r="D268" s="45" t="str">
        <f t="shared" si="83"/>
        <v>N</v>
      </c>
      <c r="E268" s="10" t="str">
        <f t="shared" si="84"/>
        <v>RMJO</v>
      </c>
      <c r="F268" s="10">
        <f t="shared" si="85"/>
        <v>13326</v>
      </c>
      <c r="G268" s="10">
        <f t="shared" si="86"/>
        <v>8909</v>
      </c>
      <c r="H268" s="10">
        <f t="shared" si="87"/>
        <v>1.4957907733752385</v>
      </c>
      <c r="I268" s="10">
        <f t="shared" si="88"/>
        <v>11863</v>
      </c>
      <c r="J268" s="10">
        <f t="shared" si="89"/>
        <v>1.1000000000000001</v>
      </c>
      <c r="K268" s="10">
        <f t="shared" si="90"/>
        <v>440</v>
      </c>
      <c r="L268" s="10">
        <f t="shared" si="91"/>
        <v>0</v>
      </c>
      <c r="M268" s="10">
        <f t="shared" si="92"/>
        <v>5895</v>
      </c>
      <c r="N268" s="10">
        <f t="shared" si="93"/>
        <v>3025</v>
      </c>
      <c r="O268" s="10">
        <f t="shared" si="94"/>
        <v>0</v>
      </c>
      <c r="P268" s="10">
        <f t="shared" si="95"/>
        <v>2093</v>
      </c>
      <c r="Q268" s="10">
        <f t="shared" si="96"/>
        <v>0</v>
      </c>
      <c r="R268" s="10">
        <f t="shared" si="97"/>
        <v>8909</v>
      </c>
    </row>
    <row r="269" spans="1:18" x14ac:dyDescent="0.2">
      <c r="A269" s="8">
        <v>15560</v>
      </c>
      <c r="B269" s="77" t="str">
        <f t="shared" si="81"/>
        <v>Murrumbidgee</v>
      </c>
      <c r="C269" s="9" t="str">
        <f t="shared" si="82"/>
        <v>RAMJO Riverina</v>
      </c>
      <c r="D269" s="45" t="str">
        <f t="shared" si="83"/>
        <v>N</v>
      </c>
      <c r="E269" s="10" t="str">
        <f t="shared" si="84"/>
        <v>RMJO</v>
      </c>
      <c r="F269" s="10">
        <f t="shared" si="85"/>
        <v>3607</v>
      </c>
      <c r="G269" s="10">
        <f t="shared" si="86"/>
        <v>2415</v>
      </c>
      <c r="H269" s="10">
        <f t="shared" si="87"/>
        <v>1.4935817805383023</v>
      </c>
      <c r="I269" s="10">
        <f t="shared" si="88"/>
        <v>6880.8</v>
      </c>
      <c r="J269" s="10">
        <f t="shared" si="89"/>
        <v>0.5</v>
      </c>
      <c r="K269" s="10">
        <f t="shared" si="90"/>
        <v>0</v>
      </c>
      <c r="L269" s="10">
        <f t="shared" si="91"/>
        <v>0</v>
      </c>
      <c r="M269" s="10">
        <f t="shared" si="92"/>
        <v>1221</v>
      </c>
      <c r="N269" s="10">
        <f t="shared" si="93"/>
        <v>800</v>
      </c>
      <c r="O269" s="10">
        <f t="shared" si="94"/>
        <v>0</v>
      </c>
      <c r="P269" s="10">
        <f t="shared" si="95"/>
        <v>0</v>
      </c>
      <c r="Q269" s="10">
        <f t="shared" si="96"/>
        <v>2415</v>
      </c>
      <c r="R269" s="10">
        <f t="shared" si="97"/>
        <v>2415</v>
      </c>
    </row>
    <row r="270" spans="1:18" x14ac:dyDescent="0.2">
      <c r="A270" s="8">
        <v>15750</v>
      </c>
      <c r="B270" s="77" t="str">
        <f t="shared" si="81"/>
        <v>Narrabri</v>
      </c>
      <c r="C270" s="9" t="str">
        <f t="shared" si="82"/>
        <v>NIRW</v>
      </c>
      <c r="D270" s="45" t="str">
        <f t="shared" si="83"/>
        <v>N</v>
      </c>
      <c r="E270" s="10" t="str">
        <f t="shared" si="84"/>
        <v>NEJO</v>
      </c>
      <c r="F270" s="10">
        <f t="shared" si="85"/>
        <v>12754</v>
      </c>
      <c r="G270" s="10">
        <f t="shared" si="86"/>
        <v>6908</v>
      </c>
      <c r="H270" s="10">
        <f t="shared" si="87"/>
        <v>1.8462651997683845</v>
      </c>
      <c r="I270" s="10">
        <f t="shared" si="88"/>
        <v>13015</v>
      </c>
      <c r="J270" s="10">
        <f t="shared" si="89"/>
        <v>1</v>
      </c>
      <c r="K270" s="10">
        <f t="shared" si="90"/>
        <v>380</v>
      </c>
      <c r="L270" s="10">
        <f t="shared" si="91"/>
        <v>0</v>
      </c>
      <c r="M270" s="10">
        <f t="shared" si="92"/>
        <v>4394</v>
      </c>
      <c r="N270" s="10">
        <f t="shared" si="93"/>
        <v>4324</v>
      </c>
      <c r="O270" s="10">
        <f t="shared" si="94"/>
        <v>0</v>
      </c>
      <c r="P270" s="10">
        <f t="shared" si="95"/>
        <v>4324</v>
      </c>
      <c r="Q270" s="10">
        <f t="shared" si="96"/>
        <v>6908</v>
      </c>
      <c r="R270" s="10">
        <f t="shared" si="97"/>
        <v>6908</v>
      </c>
    </row>
    <row r="271" spans="1:18" x14ac:dyDescent="0.2">
      <c r="A271" s="8">
        <v>15800</v>
      </c>
      <c r="B271" s="77" t="str">
        <f t="shared" si="81"/>
        <v>Narrandera</v>
      </c>
      <c r="C271" s="9" t="str">
        <f t="shared" si="82"/>
        <v>RAMJO Riverina</v>
      </c>
      <c r="D271" s="45" t="str">
        <f t="shared" si="83"/>
        <v>N</v>
      </c>
      <c r="E271" s="10" t="str">
        <f t="shared" si="84"/>
        <v>RMJO</v>
      </c>
      <c r="F271" s="10">
        <f t="shared" si="85"/>
        <v>5692</v>
      </c>
      <c r="G271" s="10">
        <f t="shared" si="86"/>
        <v>2133</v>
      </c>
      <c r="H271" s="10">
        <f t="shared" si="87"/>
        <v>2.6685419596812001</v>
      </c>
      <c r="I271" s="10">
        <f t="shared" si="88"/>
        <v>4116.3</v>
      </c>
      <c r="J271" s="10">
        <f t="shared" si="89"/>
        <v>1.4</v>
      </c>
      <c r="K271" s="10">
        <f t="shared" si="90"/>
        <v>224</v>
      </c>
      <c r="L271" s="10">
        <f t="shared" si="91"/>
        <v>0</v>
      </c>
      <c r="M271" s="10">
        <f t="shared" si="92"/>
        <v>2424</v>
      </c>
      <c r="N271" s="10">
        <f t="shared" si="93"/>
        <v>2156</v>
      </c>
      <c r="O271" s="10">
        <f t="shared" si="94"/>
        <v>0</v>
      </c>
      <c r="P271" s="10">
        <f t="shared" si="95"/>
        <v>0</v>
      </c>
      <c r="Q271" s="10">
        <f t="shared" si="96"/>
        <v>2133</v>
      </c>
      <c r="R271" s="10">
        <f t="shared" si="97"/>
        <v>2133</v>
      </c>
    </row>
    <row r="272" spans="1:18" x14ac:dyDescent="0.2">
      <c r="A272" s="8">
        <v>15850</v>
      </c>
      <c r="B272" s="77" t="str">
        <f t="shared" si="81"/>
        <v>Narromine</v>
      </c>
      <c r="C272" s="9" t="str">
        <f t="shared" si="82"/>
        <v>NetWaste</v>
      </c>
      <c r="D272" s="45" t="str">
        <f t="shared" si="83"/>
        <v>N</v>
      </c>
      <c r="E272" s="10" t="str">
        <f t="shared" si="84"/>
        <v>OJO</v>
      </c>
      <c r="F272" s="10">
        <f t="shared" si="85"/>
        <v>6443</v>
      </c>
      <c r="G272" s="10">
        <f t="shared" si="86"/>
        <v>3426</v>
      </c>
      <c r="H272" s="10">
        <f t="shared" si="87"/>
        <v>1.8806187974314068</v>
      </c>
      <c r="I272" s="10">
        <f t="shared" si="88"/>
        <v>5261.5</v>
      </c>
      <c r="J272" s="10">
        <f t="shared" si="89"/>
        <v>1.2</v>
      </c>
      <c r="K272" s="10">
        <f t="shared" si="90"/>
        <v>624</v>
      </c>
      <c r="L272" s="10">
        <f t="shared" si="91"/>
        <v>0</v>
      </c>
      <c r="M272" s="10">
        <f t="shared" si="92"/>
        <v>2928</v>
      </c>
      <c r="N272" s="10">
        <f t="shared" si="93"/>
        <v>2380</v>
      </c>
      <c r="O272" s="10">
        <f t="shared" si="94"/>
        <v>0</v>
      </c>
      <c r="P272" s="10">
        <f t="shared" si="95"/>
        <v>2082</v>
      </c>
      <c r="Q272" s="10">
        <f t="shared" si="96"/>
        <v>3426</v>
      </c>
      <c r="R272" s="10">
        <f t="shared" si="97"/>
        <v>0</v>
      </c>
    </row>
    <row r="273" spans="1:18" x14ac:dyDescent="0.2">
      <c r="A273" s="8">
        <v>16100</v>
      </c>
      <c r="B273" s="77" t="str">
        <f t="shared" si="81"/>
        <v>Oberon</v>
      </c>
      <c r="C273" s="9" t="str">
        <f t="shared" si="82"/>
        <v>NetWaste</v>
      </c>
      <c r="D273" s="45" t="str">
        <f t="shared" si="83"/>
        <v>N</v>
      </c>
      <c r="E273" s="10" t="str">
        <f t="shared" si="84"/>
        <v>CNJO</v>
      </c>
      <c r="F273" s="10">
        <f t="shared" si="85"/>
        <v>5600</v>
      </c>
      <c r="G273" s="10">
        <f t="shared" si="86"/>
        <v>3801</v>
      </c>
      <c r="H273" s="10">
        <f t="shared" si="87"/>
        <v>1.4732965009208103</v>
      </c>
      <c r="I273" s="10">
        <f t="shared" si="88"/>
        <v>3625</v>
      </c>
      <c r="J273" s="10">
        <f t="shared" si="89"/>
        <v>1.5</v>
      </c>
      <c r="K273" s="10">
        <f t="shared" si="90"/>
        <v>245.5</v>
      </c>
      <c r="L273" s="10">
        <f t="shared" si="91"/>
        <v>0</v>
      </c>
      <c r="M273" s="10">
        <f t="shared" si="92"/>
        <v>1246</v>
      </c>
      <c r="N273" s="10">
        <f t="shared" si="93"/>
        <v>0</v>
      </c>
      <c r="O273" s="10">
        <f t="shared" si="94"/>
        <v>0</v>
      </c>
      <c r="P273" s="10">
        <f t="shared" si="95"/>
        <v>0</v>
      </c>
      <c r="Q273" s="10">
        <f t="shared" si="96"/>
        <v>3801</v>
      </c>
      <c r="R273" s="10">
        <f t="shared" si="97"/>
        <v>3801</v>
      </c>
    </row>
    <row r="274" spans="1:18" x14ac:dyDescent="0.2">
      <c r="A274" s="8">
        <v>16150</v>
      </c>
      <c r="B274" s="77" t="str">
        <f t="shared" si="81"/>
        <v>Orange</v>
      </c>
      <c r="C274" s="9" t="str">
        <f t="shared" si="82"/>
        <v>NetWaste</v>
      </c>
      <c r="D274" s="45" t="str">
        <f t="shared" si="83"/>
        <v>N</v>
      </c>
      <c r="E274" s="10" t="str">
        <f t="shared" si="84"/>
        <v>CNJO</v>
      </c>
      <c r="F274" s="10">
        <f t="shared" si="85"/>
        <v>44244</v>
      </c>
      <c r="G274" s="10">
        <f t="shared" si="86"/>
        <v>19569</v>
      </c>
      <c r="H274" s="10">
        <f t="shared" si="87"/>
        <v>2.2609228882416068</v>
      </c>
      <c r="I274" s="10">
        <f t="shared" si="88"/>
        <v>284.2</v>
      </c>
      <c r="J274" s="10">
        <f t="shared" si="89"/>
        <v>155.69999999999999</v>
      </c>
      <c r="K274" s="10">
        <f t="shared" si="90"/>
        <v>479.4</v>
      </c>
      <c r="L274" s="10">
        <f t="shared" si="91"/>
        <v>0</v>
      </c>
      <c r="M274" s="10">
        <f t="shared" si="92"/>
        <v>17028</v>
      </c>
      <c r="N274" s="10">
        <f t="shared" si="93"/>
        <v>17023</v>
      </c>
      <c r="O274" s="10">
        <f t="shared" si="94"/>
        <v>0</v>
      </c>
      <c r="P274" s="10">
        <f t="shared" si="95"/>
        <v>17007</v>
      </c>
      <c r="Q274" s="10">
        <f t="shared" si="96"/>
        <v>19569</v>
      </c>
      <c r="R274" s="10">
        <f t="shared" si="97"/>
        <v>19569</v>
      </c>
    </row>
    <row r="275" spans="1:18" x14ac:dyDescent="0.2">
      <c r="A275" s="8">
        <v>16200</v>
      </c>
      <c r="B275" s="77" t="str">
        <f t="shared" si="81"/>
        <v>Parkes</v>
      </c>
      <c r="C275" s="9" t="str">
        <f t="shared" si="82"/>
        <v>NetWaste</v>
      </c>
      <c r="D275" s="45" t="str">
        <f t="shared" si="83"/>
        <v>N</v>
      </c>
      <c r="E275" s="10" t="str">
        <f t="shared" si="84"/>
        <v>CNJO</v>
      </c>
      <c r="F275" s="10">
        <f t="shared" si="85"/>
        <v>14256</v>
      </c>
      <c r="G275" s="10">
        <f t="shared" si="86"/>
        <v>9036</v>
      </c>
      <c r="H275" s="10">
        <f t="shared" si="87"/>
        <v>1.5776892430278884</v>
      </c>
      <c r="I275" s="10">
        <f t="shared" si="88"/>
        <v>5957.6</v>
      </c>
      <c r="J275" s="10">
        <f t="shared" si="89"/>
        <v>2.4</v>
      </c>
      <c r="K275" s="10">
        <f t="shared" si="90"/>
        <v>470</v>
      </c>
      <c r="L275" s="10">
        <f t="shared" si="91"/>
        <v>0</v>
      </c>
      <c r="M275" s="10">
        <f t="shared" si="92"/>
        <v>7835</v>
      </c>
      <c r="N275" s="10">
        <f t="shared" si="93"/>
        <v>7759</v>
      </c>
      <c r="O275" s="10">
        <f t="shared" si="94"/>
        <v>0</v>
      </c>
      <c r="P275" s="10">
        <f t="shared" si="95"/>
        <v>7767</v>
      </c>
      <c r="Q275" s="10">
        <f t="shared" si="96"/>
        <v>9036</v>
      </c>
      <c r="R275" s="10">
        <f t="shared" si="97"/>
        <v>9036</v>
      </c>
    </row>
    <row r="276" spans="1:18" x14ac:dyDescent="0.2">
      <c r="A276" s="8">
        <v>16490</v>
      </c>
      <c r="B276" s="77" t="str">
        <f t="shared" si="81"/>
        <v>Queanbeyan-Palerang Regional</v>
      </c>
      <c r="C276" s="9" t="str">
        <f t="shared" si="82"/>
        <v>CRJO</v>
      </c>
      <c r="D276" s="45" t="str">
        <f t="shared" si="83"/>
        <v>N</v>
      </c>
      <c r="E276" s="10" t="str">
        <f t="shared" si="84"/>
        <v>CRJO</v>
      </c>
      <c r="F276" s="10">
        <f t="shared" si="85"/>
        <v>65369</v>
      </c>
      <c r="G276" s="10">
        <f t="shared" si="86"/>
        <v>28040</v>
      </c>
      <c r="H276" s="10">
        <f t="shared" si="87"/>
        <v>2.3312767475035665</v>
      </c>
      <c r="I276" s="10">
        <f t="shared" si="88"/>
        <v>5319</v>
      </c>
      <c r="J276" s="10">
        <f t="shared" si="89"/>
        <v>12.3</v>
      </c>
      <c r="K276" s="10">
        <f t="shared" si="90"/>
        <v>328</v>
      </c>
      <c r="L276" s="10">
        <f t="shared" si="91"/>
        <v>0</v>
      </c>
      <c r="M276" s="10">
        <f t="shared" si="92"/>
        <v>21934</v>
      </c>
      <c r="N276" s="10">
        <f t="shared" si="93"/>
        <v>18989</v>
      </c>
      <c r="O276" s="10">
        <f t="shared" si="94"/>
        <v>0</v>
      </c>
      <c r="P276" s="10">
        <f t="shared" si="95"/>
        <v>17224</v>
      </c>
      <c r="Q276" s="10">
        <f t="shared" si="96"/>
        <v>28040</v>
      </c>
      <c r="R276" s="10">
        <f t="shared" si="97"/>
        <v>28040</v>
      </c>
    </row>
    <row r="277" spans="1:18" x14ac:dyDescent="0.2">
      <c r="A277" s="8">
        <v>17040</v>
      </c>
      <c r="B277" s="77" t="str">
        <f t="shared" si="81"/>
        <v>Snowy Monaro Regional</v>
      </c>
      <c r="C277" s="9" t="str">
        <f t="shared" si="82"/>
        <v>CRJO</v>
      </c>
      <c r="D277" s="45" t="str">
        <f t="shared" si="83"/>
        <v>N</v>
      </c>
      <c r="E277" s="10" t="str">
        <f t="shared" si="84"/>
        <v>CRJO</v>
      </c>
      <c r="F277" s="10">
        <f t="shared" si="85"/>
        <v>22132</v>
      </c>
      <c r="G277" s="10">
        <f t="shared" si="86"/>
        <v>14261</v>
      </c>
      <c r="H277" s="10">
        <f t="shared" si="87"/>
        <v>1.5519248299558235</v>
      </c>
      <c r="I277" s="10">
        <f t="shared" si="88"/>
        <v>15164.8</v>
      </c>
      <c r="J277" s="10">
        <f t="shared" si="89"/>
        <v>1.5</v>
      </c>
      <c r="K277" s="10">
        <f t="shared" si="90"/>
        <v>597.94000000000005</v>
      </c>
      <c r="L277" s="10">
        <f t="shared" si="91"/>
        <v>0</v>
      </c>
      <c r="M277" s="10">
        <f t="shared" si="92"/>
        <v>8082</v>
      </c>
      <c r="N277" s="10">
        <f t="shared" si="93"/>
        <v>7755</v>
      </c>
      <c r="O277" s="10">
        <f t="shared" si="94"/>
        <v>0</v>
      </c>
      <c r="P277" s="10">
        <f t="shared" si="95"/>
        <v>2851</v>
      </c>
      <c r="Q277" s="10">
        <f t="shared" si="96"/>
        <v>0</v>
      </c>
      <c r="R277" s="10">
        <f t="shared" si="97"/>
        <v>14261</v>
      </c>
    </row>
    <row r="278" spans="1:18" x14ac:dyDescent="0.2">
      <c r="A278" s="8">
        <v>17080</v>
      </c>
      <c r="B278" s="77" t="str">
        <f t="shared" si="81"/>
        <v>Snowy Valleys</v>
      </c>
      <c r="C278" s="9" t="str">
        <f t="shared" si="82"/>
        <v>CRJO</v>
      </c>
      <c r="D278" s="45" t="str">
        <f t="shared" si="83"/>
        <v>N</v>
      </c>
      <c r="E278" s="10" t="str">
        <f t="shared" si="84"/>
        <v>CRJO</v>
      </c>
      <c r="F278" s="10">
        <f t="shared" si="85"/>
        <v>14935</v>
      </c>
      <c r="G278" s="10">
        <f t="shared" si="86"/>
        <v>9309</v>
      </c>
      <c r="H278" s="10">
        <f t="shared" si="87"/>
        <v>1.604361370716511</v>
      </c>
      <c r="I278" s="10">
        <f t="shared" si="88"/>
        <v>8958.9</v>
      </c>
      <c r="J278" s="10">
        <f t="shared" si="89"/>
        <v>1.7</v>
      </c>
      <c r="K278" s="10">
        <f t="shared" si="90"/>
        <v>490</v>
      </c>
      <c r="L278" s="10">
        <f t="shared" si="91"/>
        <v>0</v>
      </c>
      <c r="M278" s="10">
        <f t="shared" si="92"/>
        <v>5436</v>
      </c>
      <c r="N278" s="10">
        <f t="shared" si="93"/>
        <v>5436</v>
      </c>
      <c r="O278" s="10">
        <f t="shared" si="94"/>
        <v>0</v>
      </c>
      <c r="P278" s="10">
        <f t="shared" si="95"/>
        <v>5436</v>
      </c>
      <c r="Q278" s="10">
        <f t="shared" si="96"/>
        <v>0</v>
      </c>
      <c r="R278" s="10">
        <f t="shared" si="97"/>
        <v>9309</v>
      </c>
    </row>
    <row r="279" spans="1:18" x14ac:dyDescent="0.2">
      <c r="A279" s="8">
        <v>17310</v>
      </c>
      <c r="B279" s="77" t="str">
        <f t="shared" si="81"/>
        <v>Tamworth Regional</v>
      </c>
      <c r="C279" s="9" t="str">
        <f t="shared" si="82"/>
        <v>NIRW</v>
      </c>
      <c r="D279" s="45" t="str">
        <f t="shared" si="83"/>
        <v>N</v>
      </c>
      <c r="E279" s="10" t="str">
        <f t="shared" si="84"/>
        <v>NJO</v>
      </c>
      <c r="F279" s="10">
        <f t="shared" si="85"/>
        <v>65246</v>
      </c>
      <c r="G279" s="10">
        <f t="shared" si="86"/>
        <v>29072</v>
      </c>
      <c r="H279" s="10">
        <f t="shared" si="87"/>
        <v>2.2442900385250413</v>
      </c>
      <c r="I279" s="10">
        <f t="shared" si="88"/>
        <v>9884.4</v>
      </c>
      <c r="J279" s="10">
        <f t="shared" si="89"/>
        <v>6.6</v>
      </c>
      <c r="K279" s="10">
        <f t="shared" si="90"/>
        <v>407</v>
      </c>
      <c r="L279" s="10">
        <f t="shared" si="91"/>
        <v>0</v>
      </c>
      <c r="M279" s="10">
        <f t="shared" si="92"/>
        <v>25119</v>
      </c>
      <c r="N279" s="10">
        <f t="shared" si="93"/>
        <v>22029</v>
      </c>
      <c r="O279" s="10">
        <f t="shared" si="94"/>
        <v>22029</v>
      </c>
      <c r="P279" s="10">
        <f t="shared" si="95"/>
        <v>0</v>
      </c>
      <c r="Q279" s="10">
        <f t="shared" si="96"/>
        <v>29072</v>
      </c>
      <c r="R279" s="10">
        <f t="shared" si="97"/>
        <v>29072</v>
      </c>
    </row>
    <row r="280" spans="1:18" x14ac:dyDescent="0.2">
      <c r="A280" s="8">
        <v>17350</v>
      </c>
      <c r="B280" s="77" t="str">
        <f t="shared" si="81"/>
        <v>Temora</v>
      </c>
      <c r="C280" s="9" t="str">
        <f t="shared" si="82"/>
        <v>REROC</v>
      </c>
      <c r="D280" s="45" t="str">
        <f t="shared" si="83"/>
        <v>N</v>
      </c>
      <c r="E280" s="10" t="str">
        <f t="shared" si="84"/>
        <v>RJO</v>
      </c>
      <c r="F280" s="10">
        <f t="shared" si="85"/>
        <v>6029</v>
      </c>
      <c r="G280" s="10">
        <f t="shared" si="86"/>
        <v>3900</v>
      </c>
      <c r="H280" s="10">
        <f t="shared" si="87"/>
        <v>1.545897435897436</v>
      </c>
      <c r="I280" s="10">
        <f t="shared" si="88"/>
        <v>2802</v>
      </c>
      <c r="J280" s="10">
        <f t="shared" si="89"/>
        <v>2.2000000000000002</v>
      </c>
      <c r="K280" s="10">
        <f t="shared" si="90"/>
        <v>296</v>
      </c>
      <c r="L280" s="10">
        <f t="shared" si="91"/>
        <v>0</v>
      </c>
      <c r="M280" s="10">
        <f t="shared" si="92"/>
        <v>2506</v>
      </c>
      <c r="N280" s="10">
        <f t="shared" si="93"/>
        <v>0</v>
      </c>
      <c r="O280" s="10">
        <f t="shared" si="94"/>
        <v>0</v>
      </c>
      <c r="P280" s="10">
        <f t="shared" si="95"/>
        <v>0</v>
      </c>
      <c r="Q280" s="10">
        <f t="shared" si="96"/>
        <v>3900</v>
      </c>
      <c r="R280" s="10">
        <f t="shared" si="97"/>
        <v>3900</v>
      </c>
    </row>
    <row r="281" spans="1:18" x14ac:dyDescent="0.2">
      <c r="A281" s="8">
        <v>17400</v>
      </c>
      <c r="B281" s="77" t="str">
        <f t="shared" si="81"/>
        <v>Tenterfield</v>
      </c>
      <c r="C281" s="9" t="str">
        <f t="shared" si="82"/>
        <v>NIRW</v>
      </c>
      <c r="D281" s="45" t="str">
        <f t="shared" si="83"/>
        <v>N</v>
      </c>
      <c r="E281" s="10" t="str">
        <f t="shared" si="84"/>
        <v>NEJO</v>
      </c>
      <c r="F281" s="10">
        <f t="shared" si="85"/>
        <v>6973</v>
      </c>
      <c r="G281" s="10">
        <f t="shared" si="86"/>
        <v>4938</v>
      </c>
      <c r="H281" s="10">
        <f t="shared" si="87"/>
        <v>1.4121101660591333</v>
      </c>
      <c r="I281" s="10">
        <f t="shared" si="88"/>
        <v>7324.3</v>
      </c>
      <c r="J281" s="10">
        <f t="shared" si="89"/>
        <v>1</v>
      </c>
      <c r="K281" s="10">
        <f t="shared" si="90"/>
        <v>621</v>
      </c>
      <c r="L281" s="10">
        <f t="shared" si="91"/>
        <v>0</v>
      </c>
      <c r="M281" s="10">
        <f t="shared" si="92"/>
        <v>2333</v>
      </c>
      <c r="N281" s="10">
        <f t="shared" si="93"/>
        <v>1742</v>
      </c>
      <c r="O281" s="10">
        <f t="shared" si="94"/>
        <v>0</v>
      </c>
      <c r="P281" s="10">
        <f t="shared" si="95"/>
        <v>0</v>
      </c>
      <c r="Q281" s="10">
        <f t="shared" si="96"/>
        <v>0</v>
      </c>
      <c r="R281" s="10">
        <f t="shared" si="97"/>
        <v>4938</v>
      </c>
    </row>
    <row r="282" spans="1:18" x14ac:dyDescent="0.2">
      <c r="A282" s="8">
        <v>17640</v>
      </c>
      <c r="B282" s="77" t="str">
        <f t="shared" si="81"/>
        <v>Upper Lachlan Shire</v>
      </c>
      <c r="C282" s="9" t="str">
        <f t="shared" si="82"/>
        <v>CRJO</v>
      </c>
      <c r="D282" s="45" t="str">
        <f t="shared" si="83"/>
        <v>N</v>
      </c>
      <c r="E282" s="10" t="str">
        <f t="shared" si="84"/>
        <v>CRJO</v>
      </c>
      <c r="F282" s="10">
        <f t="shared" si="85"/>
        <v>8706</v>
      </c>
      <c r="G282" s="10">
        <f t="shared" si="86"/>
        <v>6980</v>
      </c>
      <c r="H282" s="10">
        <f t="shared" si="87"/>
        <v>1.2472779369627507</v>
      </c>
      <c r="I282" s="10">
        <f t="shared" si="88"/>
        <v>7127.4</v>
      </c>
      <c r="J282" s="10">
        <f t="shared" si="89"/>
        <v>1.2</v>
      </c>
      <c r="K282" s="10">
        <f t="shared" si="90"/>
        <v>556</v>
      </c>
      <c r="L282" s="10">
        <f t="shared" si="91"/>
        <v>0</v>
      </c>
      <c r="M282" s="10">
        <f t="shared" si="92"/>
        <v>2192</v>
      </c>
      <c r="N282" s="10">
        <f t="shared" si="93"/>
        <v>2192</v>
      </c>
      <c r="O282" s="10">
        <f t="shared" si="94"/>
        <v>2192</v>
      </c>
      <c r="P282" s="10">
        <f t="shared" si="95"/>
        <v>0</v>
      </c>
      <c r="Q282" s="10">
        <f t="shared" si="96"/>
        <v>0</v>
      </c>
      <c r="R282" s="10">
        <f t="shared" si="97"/>
        <v>6980</v>
      </c>
    </row>
    <row r="283" spans="1:18" x14ac:dyDescent="0.2">
      <c r="A283" s="8">
        <v>17650</v>
      </c>
      <c r="B283" s="77" t="str">
        <f t="shared" si="81"/>
        <v>Uralla</v>
      </c>
      <c r="C283" s="9" t="str">
        <f t="shared" si="82"/>
        <v>NIRW</v>
      </c>
      <c r="D283" s="45" t="str">
        <f t="shared" si="83"/>
        <v>N</v>
      </c>
      <c r="E283" s="10" t="str">
        <f t="shared" si="84"/>
        <v>NEJO</v>
      </c>
      <c r="F283" s="10">
        <f t="shared" si="85"/>
        <v>6047</v>
      </c>
      <c r="G283" s="10">
        <f t="shared" si="86"/>
        <v>3198</v>
      </c>
      <c r="H283" s="10">
        <f t="shared" si="87"/>
        <v>1.8908692933083178</v>
      </c>
      <c r="I283" s="10">
        <f t="shared" si="88"/>
        <v>3226.5</v>
      </c>
      <c r="J283" s="10">
        <f t="shared" si="89"/>
        <v>1.9</v>
      </c>
      <c r="K283" s="10">
        <f t="shared" si="90"/>
        <v>414</v>
      </c>
      <c r="L283" s="10">
        <f t="shared" si="91"/>
        <v>0</v>
      </c>
      <c r="M283" s="10">
        <f t="shared" si="92"/>
        <v>2079</v>
      </c>
      <c r="N283" s="10">
        <f t="shared" si="93"/>
        <v>1985</v>
      </c>
      <c r="O283" s="10">
        <f t="shared" si="94"/>
        <v>146</v>
      </c>
      <c r="P283" s="10">
        <f t="shared" si="95"/>
        <v>0</v>
      </c>
      <c r="Q283" s="10">
        <f t="shared" si="96"/>
        <v>0</v>
      </c>
      <c r="R283" s="10">
        <f t="shared" si="97"/>
        <v>3198</v>
      </c>
    </row>
    <row r="284" spans="1:18" x14ac:dyDescent="0.2">
      <c r="A284" s="8">
        <v>17750</v>
      </c>
      <c r="B284" s="77" t="str">
        <f t="shared" si="81"/>
        <v>Wagga Wagga</v>
      </c>
      <c r="C284" s="9" t="str">
        <f t="shared" si="82"/>
        <v>REROC</v>
      </c>
      <c r="D284" s="45" t="str">
        <f t="shared" si="83"/>
        <v>N</v>
      </c>
      <c r="E284" s="10">
        <f t="shared" si="84"/>
        <v>0</v>
      </c>
      <c r="F284" s="10">
        <f t="shared" si="85"/>
        <v>68716</v>
      </c>
      <c r="G284" s="10">
        <f t="shared" si="86"/>
        <v>26202</v>
      </c>
      <c r="H284" s="10">
        <f t="shared" si="87"/>
        <v>2.6225478971070912</v>
      </c>
      <c r="I284" s="10">
        <f t="shared" si="88"/>
        <v>4824.5</v>
      </c>
      <c r="J284" s="10">
        <f t="shared" si="89"/>
        <v>14.2</v>
      </c>
      <c r="K284" s="10">
        <f t="shared" si="90"/>
        <v>405</v>
      </c>
      <c r="L284" s="10">
        <f t="shared" si="91"/>
        <v>0</v>
      </c>
      <c r="M284" s="10">
        <f t="shared" si="92"/>
        <v>27526</v>
      </c>
      <c r="N284" s="10">
        <f t="shared" si="93"/>
        <v>24724</v>
      </c>
      <c r="O284" s="10">
        <f t="shared" si="94"/>
        <v>0</v>
      </c>
      <c r="P284" s="10">
        <f t="shared" si="95"/>
        <v>26784</v>
      </c>
      <c r="Q284" s="10">
        <f t="shared" si="96"/>
        <v>26202</v>
      </c>
      <c r="R284" s="10">
        <f t="shared" si="97"/>
        <v>26202</v>
      </c>
    </row>
    <row r="285" spans="1:18" x14ac:dyDescent="0.2">
      <c r="A285" s="8">
        <v>17850</v>
      </c>
      <c r="B285" s="77" t="str">
        <f t="shared" si="81"/>
        <v>Walcha</v>
      </c>
      <c r="C285" s="9" t="str">
        <f t="shared" si="82"/>
        <v>NIRW</v>
      </c>
      <c r="D285" s="45" t="str">
        <f t="shared" si="83"/>
        <v>N</v>
      </c>
      <c r="E285" s="10" t="str">
        <f t="shared" si="84"/>
        <v>NJO</v>
      </c>
      <c r="F285" s="10">
        <f t="shared" si="85"/>
        <v>2968</v>
      </c>
      <c r="G285" s="10">
        <f t="shared" si="86"/>
        <v>1629</v>
      </c>
      <c r="H285" s="10">
        <f t="shared" si="87"/>
        <v>1.8219766728054021</v>
      </c>
      <c r="I285" s="10">
        <f t="shared" si="88"/>
        <v>6261</v>
      </c>
      <c r="J285" s="10">
        <f t="shared" si="89"/>
        <v>0.5</v>
      </c>
      <c r="K285" s="10">
        <f t="shared" si="90"/>
        <v>695</v>
      </c>
      <c r="L285" s="10">
        <f t="shared" si="91"/>
        <v>0</v>
      </c>
      <c r="M285" s="10">
        <f t="shared" si="92"/>
        <v>781</v>
      </c>
      <c r="N285" s="10">
        <f t="shared" si="93"/>
        <v>763</v>
      </c>
      <c r="O285" s="10">
        <f t="shared" si="94"/>
        <v>763</v>
      </c>
      <c r="P285" s="10">
        <f t="shared" si="95"/>
        <v>0</v>
      </c>
      <c r="Q285" s="10">
        <f t="shared" si="96"/>
        <v>0</v>
      </c>
      <c r="R285" s="10">
        <f t="shared" si="97"/>
        <v>0</v>
      </c>
    </row>
    <row r="286" spans="1:18" x14ac:dyDescent="0.2">
      <c r="A286" s="8">
        <v>17900</v>
      </c>
      <c r="B286" s="77" t="str">
        <f t="shared" si="81"/>
        <v>Walgett</v>
      </c>
      <c r="C286" s="9" t="str">
        <f t="shared" si="82"/>
        <v>NetWaste</v>
      </c>
      <c r="D286" s="45" t="str">
        <f t="shared" si="83"/>
        <v>N</v>
      </c>
      <c r="E286" s="10" t="str">
        <f t="shared" si="84"/>
        <v>FNWJO</v>
      </c>
      <c r="F286" s="10">
        <f t="shared" si="85"/>
        <v>5519</v>
      </c>
      <c r="G286" s="10">
        <f t="shared" si="86"/>
        <v>5753</v>
      </c>
      <c r="H286" s="10">
        <f t="shared" si="87"/>
        <v>0.95932556926820789</v>
      </c>
      <c r="I286" s="10">
        <f t="shared" si="88"/>
        <v>22308.3</v>
      </c>
      <c r="J286" s="10">
        <f t="shared" si="89"/>
        <v>0.2</v>
      </c>
      <c r="K286" s="10">
        <f t="shared" si="90"/>
        <v>551</v>
      </c>
      <c r="L286" s="10">
        <f t="shared" si="91"/>
        <v>0</v>
      </c>
      <c r="M286" s="10">
        <f t="shared" si="92"/>
        <v>1533</v>
      </c>
      <c r="N286" s="10">
        <f t="shared" si="93"/>
        <v>0</v>
      </c>
      <c r="O286" s="10">
        <f t="shared" si="94"/>
        <v>0</v>
      </c>
      <c r="P286" s="10">
        <f t="shared" si="95"/>
        <v>0</v>
      </c>
      <c r="Q286" s="10">
        <f t="shared" si="96"/>
        <v>0</v>
      </c>
      <c r="R286" s="10">
        <f t="shared" si="97"/>
        <v>5753</v>
      </c>
    </row>
    <row r="287" spans="1:18" x14ac:dyDescent="0.2">
      <c r="A287" s="8">
        <v>17950</v>
      </c>
      <c r="B287" s="77" t="str">
        <f t="shared" si="81"/>
        <v>Warren</v>
      </c>
      <c r="C287" s="9" t="str">
        <f t="shared" si="82"/>
        <v>NetWaste</v>
      </c>
      <c r="D287" s="45" t="str">
        <f t="shared" si="83"/>
        <v>N</v>
      </c>
      <c r="E287" s="10" t="str">
        <f t="shared" si="84"/>
        <v>OJO</v>
      </c>
      <c r="F287" s="10">
        <f t="shared" si="85"/>
        <v>2583</v>
      </c>
      <c r="G287" s="10">
        <f t="shared" si="86"/>
        <v>2058</v>
      </c>
      <c r="H287" s="10">
        <f t="shared" si="87"/>
        <v>1.2551020408163265</v>
      </c>
      <c r="I287" s="10">
        <f t="shared" si="88"/>
        <v>10753.8</v>
      </c>
      <c r="J287" s="10">
        <f t="shared" si="89"/>
        <v>0.2</v>
      </c>
      <c r="K287" s="10">
        <f t="shared" si="90"/>
        <v>0</v>
      </c>
      <c r="L287" s="10">
        <f t="shared" si="91"/>
        <v>0</v>
      </c>
      <c r="M287" s="10">
        <f t="shared" si="92"/>
        <v>950</v>
      </c>
      <c r="N287" s="10">
        <f t="shared" si="93"/>
        <v>0</v>
      </c>
      <c r="O287" s="10">
        <f t="shared" si="94"/>
        <v>0</v>
      </c>
      <c r="P287" s="10">
        <f t="shared" si="95"/>
        <v>0</v>
      </c>
      <c r="Q287" s="10">
        <f t="shared" si="96"/>
        <v>2058</v>
      </c>
      <c r="R287" s="10">
        <f t="shared" si="97"/>
        <v>2058</v>
      </c>
    </row>
    <row r="288" spans="1:18" x14ac:dyDescent="0.2">
      <c r="A288" s="8">
        <v>18020</v>
      </c>
      <c r="B288" s="77" t="str">
        <f t="shared" si="81"/>
        <v>Warrumbungle Shire</v>
      </c>
      <c r="C288" s="9" t="str">
        <f t="shared" si="82"/>
        <v>NetWaste</v>
      </c>
      <c r="D288" s="45" t="str">
        <f t="shared" si="83"/>
        <v>N</v>
      </c>
      <c r="E288" s="10" t="str">
        <f t="shared" si="84"/>
        <v>OJO</v>
      </c>
      <c r="F288" s="10">
        <f t="shared" si="85"/>
        <v>9228</v>
      </c>
      <c r="G288" s="10">
        <f t="shared" si="86"/>
        <v>6063</v>
      </c>
      <c r="H288" s="10">
        <f t="shared" si="87"/>
        <v>1.5220188025729837</v>
      </c>
      <c r="I288" s="10">
        <f t="shared" si="88"/>
        <v>12372.1</v>
      </c>
      <c r="J288" s="10">
        <f t="shared" si="89"/>
        <v>0.7</v>
      </c>
      <c r="K288" s="10">
        <f t="shared" si="90"/>
        <v>407</v>
      </c>
      <c r="L288" s="10">
        <f t="shared" si="91"/>
        <v>0</v>
      </c>
      <c r="M288" s="10">
        <f t="shared" si="92"/>
        <v>3048</v>
      </c>
      <c r="N288" s="10">
        <f t="shared" si="93"/>
        <v>3048</v>
      </c>
      <c r="O288" s="10">
        <f t="shared" si="94"/>
        <v>0</v>
      </c>
      <c r="P288" s="10">
        <f t="shared" si="95"/>
        <v>0</v>
      </c>
      <c r="Q288" s="10">
        <f t="shared" si="96"/>
        <v>0</v>
      </c>
      <c r="R288" s="10">
        <f t="shared" si="97"/>
        <v>0</v>
      </c>
    </row>
    <row r="289" spans="1:18" x14ac:dyDescent="0.2">
      <c r="A289" s="8">
        <v>18100</v>
      </c>
      <c r="B289" s="77" t="str">
        <f t="shared" si="81"/>
        <v>Weddin</v>
      </c>
      <c r="C289" s="9" t="str">
        <f t="shared" si="82"/>
        <v>NetWaste</v>
      </c>
      <c r="D289" s="45" t="str">
        <f t="shared" si="83"/>
        <v>N</v>
      </c>
      <c r="E289" s="10" t="str">
        <f t="shared" si="84"/>
        <v>CNJO</v>
      </c>
      <c r="F289" s="10">
        <f t="shared" si="85"/>
        <v>3616</v>
      </c>
      <c r="G289" s="10">
        <f t="shared" si="86"/>
        <v>2612</v>
      </c>
      <c r="H289" s="10">
        <f t="shared" si="87"/>
        <v>1.3843797856049005</v>
      </c>
      <c r="I289" s="10">
        <f t="shared" si="88"/>
        <v>3414.9</v>
      </c>
      <c r="J289" s="10">
        <f t="shared" si="89"/>
        <v>1.1000000000000001</v>
      </c>
      <c r="K289" s="10">
        <f t="shared" si="90"/>
        <v>375</v>
      </c>
      <c r="L289" s="10">
        <f t="shared" si="91"/>
        <v>0</v>
      </c>
      <c r="M289" s="10">
        <f t="shared" si="92"/>
        <v>1266</v>
      </c>
      <c r="N289" s="10">
        <f t="shared" si="93"/>
        <v>1099</v>
      </c>
      <c r="O289" s="10">
        <f t="shared" si="94"/>
        <v>0</v>
      </c>
      <c r="P289" s="10">
        <f t="shared" si="95"/>
        <v>0</v>
      </c>
      <c r="Q289" s="10">
        <f t="shared" si="96"/>
        <v>0</v>
      </c>
      <c r="R289" s="10">
        <f t="shared" si="97"/>
        <v>2612</v>
      </c>
    </row>
    <row r="290" spans="1:18" x14ac:dyDescent="0.2">
      <c r="A290" s="8">
        <v>18200</v>
      </c>
      <c r="B290" s="77" t="str">
        <f t="shared" si="81"/>
        <v>Wentworth</v>
      </c>
      <c r="C290" s="9" t="str">
        <f t="shared" si="82"/>
        <v>RAMJO Murray</v>
      </c>
      <c r="D290" s="45" t="str">
        <f t="shared" si="83"/>
        <v>N</v>
      </c>
      <c r="E290" s="10" t="str">
        <f t="shared" si="84"/>
        <v>FSWJO</v>
      </c>
      <c r="F290" s="10">
        <f t="shared" si="85"/>
        <v>7688</v>
      </c>
      <c r="G290" s="10">
        <f t="shared" si="86"/>
        <v>4097</v>
      </c>
      <c r="H290" s="10">
        <f t="shared" si="87"/>
        <v>1.8764949963387845</v>
      </c>
      <c r="I290" s="10">
        <f t="shared" si="88"/>
        <v>26255.9</v>
      </c>
      <c r="J290" s="10">
        <f t="shared" si="89"/>
        <v>0.3</v>
      </c>
      <c r="K290" s="10">
        <f t="shared" si="90"/>
        <v>281</v>
      </c>
      <c r="L290" s="10">
        <f t="shared" si="91"/>
        <v>0</v>
      </c>
      <c r="M290" s="10">
        <f t="shared" si="92"/>
        <v>122</v>
      </c>
      <c r="N290" s="10">
        <f t="shared" si="93"/>
        <v>0</v>
      </c>
      <c r="O290" s="10">
        <f t="shared" si="94"/>
        <v>0</v>
      </c>
      <c r="P290" s="10">
        <f t="shared" si="95"/>
        <v>0</v>
      </c>
      <c r="Q290" s="10">
        <f t="shared" si="96"/>
        <v>0</v>
      </c>
      <c r="R290" s="10">
        <f t="shared" si="97"/>
        <v>4097</v>
      </c>
    </row>
    <row r="291" spans="1:18" ht="13.5" thickBot="1" x14ac:dyDescent="0.25">
      <c r="A291" s="8">
        <v>18710</v>
      </c>
      <c r="B291" s="77" t="str">
        <f t="shared" si="81"/>
        <v>Yass Valley</v>
      </c>
      <c r="C291" s="9" t="str">
        <f t="shared" si="82"/>
        <v>CRJO</v>
      </c>
      <c r="D291" s="45" t="str">
        <f t="shared" si="83"/>
        <v>N</v>
      </c>
      <c r="E291" s="10" t="str">
        <f t="shared" si="84"/>
        <v>CRJO</v>
      </c>
      <c r="F291" s="10">
        <f t="shared" si="85"/>
        <v>17477</v>
      </c>
      <c r="G291" s="10">
        <f t="shared" si="86"/>
        <v>8239</v>
      </c>
      <c r="H291" s="10">
        <f t="shared" si="87"/>
        <v>2.1212525791965042</v>
      </c>
      <c r="I291" s="10">
        <f t="shared" si="88"/>
        <v>3995</v>
      </c>
      <c r="J291" s="10">
        <f t="shared" si="89"/>
        <v>4.4000000000000004</v>
      </c>
      <c r="K291" s="10">
        <f t="shared" si="90"/>
        <v>500</v>
      </c>
      <c r="L291" s="10">
        <f t="shared" si="91"/>
        <v>0</v>
      </c>
      <c r="M291" s="10">
        <f t="shared" si="92"/>
        <v>4155</v>
      </c>
      <c r="N291" s="10">
        <f t="shared" si="93"/>
        <v>4155</v>
      </c>
      <c r="O291" s="10">
        <f t="shared" si="94"/>
        <v>0</v>
      </c>
      <c r="P291" s="10">
        <f t="shared" si="95"/>
        <v>0</v>
      </c>
      <c r="Q291" s="10">
        <f t="shared" si="96"/>
        <v>0</v>
      </c>
      <c r="R291" s="10">
        <f t="shared" si="97"/>
        <v>8239</v>
      </c>
    </row>
    <row r="292" spans="1:18" ht="13.5" thickTop="1" x14ac:dyDescent="0.2">
      <c r="A292" s="11"/>
      <c r="B292" s="11"/>
      <c r="C292" s="11" t="s">
        <v>26</v>
      </c>
      <c r="D292" s="11"/>
      <c r="E292" s="12"/>
      <c r="F292" s="13">
        <f t="shared" ref="F292:R292" si="98">COUNTIF(F225:F291,"&gt;0")</f>
        <v>67</v>
      </c>
      <c r="G292" s="13">
        <f t="shared" si="98"/>
        <v>67</v>
      </c>
      <c r="H292" s="13">
        <f t="shared" si="98"/>
        <v>67</v>
      </c>
      <c r="I292" s="13">
        <f t="shared" si="98"/>
        <v>67</v>
      </c>
      <c r="J292" s="13">
        <f t="shared" si="98"/>
        <v>66</v>
      </c>
      <c r="K292" s="13">
        <f t="shared" si="98"/>
        <v>65</v>
      </c>
      <c r="L292" s="13">
        <f t="shared" si="98"/>
        <v>0</v>
      </c>
      <c r="M292" s="13">
        <f t="shared" si="98"/>
        <v>67</v>
      </c>
      <c r="N292" s="13">
        <f t="shared" si="98"/>
        <v>51</v>
      </c>
      <c r="O292" s="13">
        <f t="shared" si="98"/>
        <v>8</v>
      </c>
      <c r="P292" s="13">
        <f t="shared" si="98"/>
        <v>25</v>
      </c>
      <c r="Q292" s="13">
        <f t="shared" si="98"/>
        <v>25</v>
      </c>
      <c r="R292" s="13">
        <f t="shared" si="98"/>
        <v>59</v>
      </c>
    </row>
    <row r="293" spans="1:18" x14ac:dyDescent="0.2">
      <c r="A293" s="8"/>
      <c r="B293" s="14" t="s">
        <v>461</v>
      </c>
      <c r="C293" s="8" t="s">
        <v>27</v>
      </c>
      <c r="D293" s="8"/>
      <c r="E293" s="69"/>
      <c r="F293" s="15">
        <f t="shared" ref="F293:R293" si="99">SUM(F225:F291)</f>
        <v>1055669</v>
      </c>
      <c r="G293" s="15">
        <f t="shared" si="99"/>
        <v>549387</v>
      </c>
      <c r="H293" s="93">
        <f>F293/G293</f>
        <v>1.9215398252961937</v>
      </c>
      <c r="I293" s="15">
        <f t="shared" si="99"/>
        <v>622328.90000000014</v>
      </c>
      <c r="J293" s="15">
        <f t="shared" si="99"/>
        <v>638.70000000000005</v>
      </c>
      <c r="K293" s="15">
        <f t="shared" si="99"/>
        <v>27271.27</v>
      </c>
      <c r="L293" s="15">
        <f t="shared" si="99"/>
        <v>0</v>
      </c>
      <c r="M293" s="15">
        <f t="shared" si="99"/>
        <v>403643</v>
      </c>
      <c r="N293" s="15">
        <f t="shared" si="99"/>
        <v>365677</v>
      </c>
      <c r="O293" s="15">
        <f t="shared" si="99"/>
        <v>59082</v>
      </c>
      <c r="P293" s="15">
        <f t="shared" si="99"/>
        <v>217500</v>
      </c>
      <c r="Q293" s="15">
        <f t="shared" si="99"/>
        <v>252937</v>
      </c>
      <c r="R293" s="15">
        <f t="shared" si="99"/>
        <v>517734</v>
      </c>
    </row>
    <row r="294" spans="1:18" x14ac:dyDescent="0.2">
      <c r="A294" s="8"/>
      <c r="B294" s="14"/>
      <c r="C294" s="8" t="s">
        <v>28</v>
      </c>
      <c r="D294" s="8"/>
      <c r="E294" s="69"/>
      <c r="F294" s="10">
        <f t="shared" ref="F294:R294" si="100">MIN(F225:F291)</f>
        <v>1411</v>
      </c>
      <c r="G294" s="10">
        <f t="shared" si="100"/>
        <v>734</v>
      </c>
      <c r="H294" s="10">
        <f t="shared" si="100"/>
        <v>0.95932556926820789</v>
      </c>
      <c r="I294" s="10">
        <f t="shared" si="100"/>
        <v>170.1</v>
      </c>
      <c r="J294" s="10">
        <f t="shared" si="100"/>
        <v>0</v>
      </c>
      <c r="K294" s="10">
        <f t="shared" si="100"/>
        <v>0</v>
      </c>
      <c r="L294" s="10">
        <f t="shared" si="100"/>
        <v>0</v>
      </c>
      <c r="M294" s="10">
        <f t="shared" si="100"/>
        <v>122</v>
      </c>
      <c r="N294" s="10">
        <f t="shared" si="100"/>
        <v>0</v>
      </c>
      <c r="O294" s="10">
        <f t="shared" si="100"/>
        <v>0</v>
      </c>
      <c r="P294" s="10">
        <f t="shared" si="100"/>
        <v>0</v>
      </c>
      <c r="Q294" s="10">
        <f t="shared" si="100"/>
        <v>0</v>
      </c>
      <c r="R294" s="10">
        <f t="shared" si="100"/>
        <v>0</v>
      </c>
    </row>
    <row r="295" spans="1:18" x14ac:dyDescent="0.2">
      <c r="A295" s="8"/>
      <c r="B295" s="14"/>
      <c r="C295" s="8" t="s">
        <v>29</v>
      </c>
      <c r="D295" s="8"/>
      <c r="E295" s="69"/>
      <c r="F295" s="10">
        <f t="shared" ref="F295:R295" si="101">MAX(F225:F291)</f>
        <v>68716</v>
      </c>
      <c r="G295" s="10">
        <f t="shared" si="101"/>
        <v>29072</v>
      </c>
      <c r="H295" s="10">
        <f t="shared" si="101"/>
        <v>2.7058654674193856</v>
      </c>
      <c r="I295" s="10">
        <f t="shared" si="101"/>
        <v>53492.2</v>
      </c>
      <c r="J295" s="10">
        <f t="shared" si="101"/>
        <v>188.2</v>
      </c>
      <c r="K295" s="10">
        <f t="shared" si="101"/>
        <v>738</v>
      </c>
      <c r="L295" s="10">
        <f t="shared" si="101"/>
        <v>0</v>
      </c>
      <c r="M295" s="10">
        <f t="shared" si="101"/>
        <v>27526</v>
      </c>
      <c r="N295" s="10">
        <f t="shared" si="101"/>
        <v>26167</v>
      </c>
      <c r="O295" s="10">
        <f t="shared" si="101"/>
        <v>22664</v>
      </c>
      <c r="P295" s="10">
        <f t="shared" si="101"/>
        <v>26784</v>
      </c>
      <c r="Q295" s="10">
        <f t="shared" si="101"/>
        <v>29072</v>
      </c>
      <c r="R295" s="10">
        <f t="shared" si="101"/>
        <v>29072</v>
      </c>
    </row>
    <row r="296" spans="1:18" x14ac:dyDescent="0.2">
      <c r="A296" s="8"/>
      <c r="B296" s="14"/>
      <c r="C296" s="8" t="s">
        <v>30</v>
      </c>
      <c r="D296" s="8"/>
      <c r="E296" s="69"/>
      <c r="F296" s="10">
        <f t="shared" ref="F296:R296" si="102">AVERAGE(F225:F291)</f>
        <v>15756.253731343284</v>
      </c>
      <c r="G296" s="10">
        <f t="shared" si="102"/>
        <v>8199.805970149253</v>
      </c>
      <c r="H296" s="10">
        <f t="shared" si="102"/>
        <v>1.7820897066999499</v>
      </c>
      <c r="I296" s="10">
        <f t="shared" si="102"/>
        <v>9288.4910447761213</v>
      </c>
      <c r="J296" s="10">
        <f t="shared" si="102"/>
        <v>9.5328358208955226</v>
      </c>
      <c r="K296" s="10">
        <f t="shared" si="102"/>
        <v>407.03388059701496</v>
      </c>
      <c r="L296" s="10">
        <f t="shared" si="102"/>
        <v>0</v>
      </c>
      <c r="M296" s="10">
        <f t="shared" si="102"/>
        <v>6024.5223880597014</v>
      </c>
      <c r="N296" s="10">
        <f t="shared" si="102"/>
        <v>5457.8656716417909</v>
      </c>
      <c r="O296" s="10">
        <f t="shared" si="102"/>
        <v>881.82089552238801</v>
      </c>
      <c r="P296" s="10">
        <f t="shared" si="102"/>
        <v>3246.2686567164178</v>
      </c>
      <c r="Q296" s="10">
        <f t="shared" si="102"/>
        <v>3775.1791044776119</v>
      </c>
      <c r="R296" s="10">
        <f t="shared" si="102"/>
        <v>7727.373134328358</v>
      </c>
    </row>
    <row r="297" spans="1:18" ht="13.5" thickBot="1" x14ac:dyDescent="0.25">
      <c r="A297" s="16"/>
      <c r="B297" s="17"/>
      <c r="C297" s="16" t="s">
        <v>31</v>
      </c>
      <c r="D297" s="16"/>
      <c r="E297" s="69"/>
      <c r="F297" s="18">
        <f t="shared" ref="F297:R297" si="103">MEDIAN(F225:F291)</f>
        <v>8989</v>
      </c>
      <c r="G297" s="18">
        <f t="shared" si="103"/>
        <v>5516</v>
      </c>
      <c r="H297" s="18">
        <f t="shared" si="103"/>
        <v>1.6780258519388953</v>
      </c>
      <c r="I297" s="18">
        <f t="shared" si="103"/>
        <v>6022.3</v>
      </c>
      <c r="J297" s="18">
        <f t="shared" si="103"/>
        <v>1.7</v>
      </c>
      <c r="K297" s="18">
        <f t="shared" si="103"/>
        <v>407</v>
      </c>
      <c r="L297" s="18">
        <f t="shared" si="103"/>
        <v>0</v>
      </c>
      <c r="M297" s="18">
        <f t="shared" si="103"/>
        <v>3319</v>
      </c>
      <c r="N297" s="18">
        <f t="shared" si="103"/>
        <v>3025</v>
      </c>
      <c r="O297" s="18">
        <f t="shared" si="103"/>
        <v>0</v>
      </c>
      <c r="P297" s="18">
        <f t="shared" si="103"/>
        <v>0</v>
      </c>
      <c r="Q297" s="18">
        <f t="shared" si="103"/>
        <v>0</v>
      </c>
      <c r="R297" s="18">
        <f t="shared" si="103"/>
        <v>5391</v>
      </c>
    </row>
    <row r="298" spans="1:18" ht="13.5" thickTop="1" x14ac:dyDescent="0.2">
      <c r="B298" s="42" t="s">
        <v>25</v>
      </c>
      <c r="D298" s="5"/>
      <c r="F298"/>
      <c r="G298"/>
      <c r="H298"/>
      <c r="I298"/>
      <c r="J298"/>
      <c r="K298"/>
      <c r="M298" s="563">
        <f>M293/G293</f>
        <v>0.7347152371643304</v>
      </c>
    </row>
    <row r="299" spans="1:18" x14ac:dyDescent="0.2">
      <c r="B299" s="42"/>
    </row>
    <row r="300" spans="1:18" x14ac:dyDescent="0.2">
      <c r="B300" s="42" t="s">
        <v>25</v>
      </c>
      <c r="F300"/>
      <c r="G300"/>
      <c r="H300"/>
      <c r="I300"/>
      <c r="J300"/>
      <c r="K300"/>
    </row>
    <row r="301" spans="1:18" x14ac:dyDescent="0.2">
      <c r="A301" s="42"/>
      <c r="B301" s="78" t="s">
        <v>458</v>
      </c>
      <c r="C301" s="96"/>
      <c r="D301" s="24"/>
      <c r="E301" s="24"/>
      <c r="F301" s="10">
        <f>F187</f>
        <v>6434099</v>
      </c>
      <c r="G301" s="10">
        <f t="shared" ref="G301:R301" si="104">G187</f>
        <v>2566478</v>
      </c>
      <c r="H301" s="10">
        <f t="shared" si="104"/>
        <v>2.5069760972040283</v>
      </c>
      <c r="I301" s="10">
        <f t="shared" si="104"/>
        <v>20545.2</v>
      </c>
      <c r="J301" s="10">
        <f t="shared" si="104"/>
        <v>98682.7</v>
      </c>
      <c r="K301" s="10">
        <f t="shared" si="104"/>
        <v>22432.45</v>
      </c>
      <c r="L301" s="10">
        <f t="shared" si="104"/>
        <v>0</v>
      </c>
      <c r="M301" s="10">
        <f t="shared" si="104"/>
        <v>2332481</v>
      </c>
      <c r="N301" s="10">
        <f t="shared" si="104"/>
        <v>2258395</v>
      </c>
      <c r="O301" s="10">
        <f t="shared" si="104"/>
        <v>1220937</v>
      </c>
      <c r="P301" s="10">
        <f t="shared" si="104"/>
        <v>362246</v>
      </c>
      <c r="Q301" s="10">
        <f t="shared" si="104"/>
        <v>2537658</v>
      </c>
      <c r="R301" s="10">
        <f t="shared" si="104"/>
        <v>2566868</v>
      </c>
    </row>
    <row r="302" spans="1:18" x14ac:dyDescent="0.2">
      <c r="A302" s="42"/>
      <c r="B302" s="78" t="s">
        <v>460</v>
      </c>
      <c r="C302" s="96"/>
      <c r="D302" s="24"/>
      <c r="E302" s="24"/>
      <c r="F302" s="10">
        <f>F216</f>
        <v>851504</v>
      </c>
      <c r="G302" s="10">
        <f t="shared" ref="G302:R302" si="105">G216</f>
        <v>396778</v>
      </c>
      <c r="H302" s="10">
        <f t="shared" si="105"/>
        <v>2.1460464037824676</v>
      </c>
      <c r="I302" s="10">
        <f t="shared" si="105"/>
        <v>64714.200000000012</v>
      </c>
      <c r="J302" s="10">
        <f t="shared" si="105"/>
        <v>516.20000000000005</v>
      </c>
      <c r="K302" s="10">
        <f t="shared" si="105"/>
        <v>9584.17</v>
      </c>
      <c r="L302" s="10">
        <f t="shared" si="105"/>
        <v>0</v>
      </c>
      <c r="M302" s="10">
        <f t="shared" si="105"/>
        <v>297125</v>
      </c>
      <c r="N302" s="10">
        <f t="shared" si="105"/>
        <v>323782</v>
      </c>
      <c r="O302" s="10">
        <f t="shared" si="105"/>
        <v>167501</v>
      </c>
      <c r="P302" s="10">
        <f t="shared" si="105"/>
        <v>173367</v>
      </c>
      <c r="Q302" s="10">
        <f t="shared" si="105"/>
        <v>296830</v>
      </c>
      <c r="R302" s="10">
        <f t="shared" si="105"/>
        <v>396778</v>
      </c>
    </row>
    <row r="303" spans="1:18" x14ac:dyDescent="0.2">
      <c r="A303" s="42"/>
      <c r="B303" s="47" t="s">
        <v>461</v>
      </c>
      <c r="C303" s="96"/>
      <c r="D303" s="24"/>
      <c r="E303" s="24"/>
      <c r="F303" s="10">
        <f>F293</f>
        <v>1055669</v>
      </c>
      <c r="G303" s="10">
        <f t="shared" ref="G303:R303" si="106">G293</f>
        <v>549387</v>
      </c>
      <c r="H303" s="10">
        <f t="shared" si="106"/>
        <v>1.9215398252961937</v>
      </c>
      <c r="I303" s="10">
        <f t="shared" si="106"/>
        <v>622328.90000000014</v>
      </c>
      <c r="J303" s="10">
        <f t="shared" si="106"/>
        <v>638.70000000000005</v>
      </c>
      <c r="K303" s="10">
        <f t="shared" si="106"/>
        <v>27271.27</v>
      </c>
      <c r="L303" s="10">
        <f t="shared" si="106"/>
        <v>0</v>
      </c>
      <c r="M303" s="10">
        <f t="shared" si="106"/>
        <v>403643</v>
      </c>
      <c r="N303" s="10">
        <f t="shared" si="106"/>
        <v>365677</v>
      </c>
      <c r="O303" s="10">
        <f t="shared" si="106"/>
        <v>59082</v>
      </c>
      <c r="P303" s="10">
        <f t="shared" si="106"/>
        <v>217500</v>
      </c>
      <c r="Q303" s="10">
        <f t="shared" si="106"/>
        <v>252937</v>
      </c>
      <c r="R303" s="10">
        <f t="shared" si="106"/>
        <v>517734</v>
      </c>
    </row>
    <row r="304" spans="1:18" x14ac:dyDescent="0.2">
      <c r="A304" s="42"/>
      <c r="B304" s="78"/>
      <c r="C304" s="96"/>
      <c r="D304" s="24"/>
      <c r="E304" s="24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</row>
    <row r="305" spans="1:18" x14ac:dyDescent="0.2">
      <c r="A305" s="42"/>
      <c r="B305" s="78"/>
      <c r="C305" s="96"/>
      <c r="D305" s="24"/>
      <c r="E305" s="24"/>
      <c r="F305" s="19">
        <f>F301-F314</f>
        <v>0</v>
      </c>
      <c r="G305" s="19">
        <f t="shared" ref="G305:Q305" si="107">G301-G314</f>
        <v>0</v>
      </c>
      <c r="H305" s="19">
        <f t="shared" si="107"/>
        <v>0</v>
      </c>
      <c r="I305" s="19">
        <f t="shared" si="107"/>
        <v>0</v>
      </c>
      <c r="J305" s="19">
        <f t="shared" si="107"/>
        <v>0</v>
      </c>
      <c r="K305" s="19">
        <f t="shared" si="107"/>
        <v>0</v>
      </c>
      <c r="L305" s="19">
        <f t="shared" si="107"/>
        <v>0</v>
      </c>
      <c r="M305" s="19">
        <f t="shared" si="107"/>
        <v>0</v>
      </c>
      <c r="N305" s="19">
        <f t="shared" si="107"/>
        <v>0</v>
      </c>
      <c r="O305" s="19">
        <f t="shared" si="107"/>
        <v>0</v>
      </c>
      <c r="P305" s="19">
        <f t="shared" si="107"/>
        <v>0</v>
      </c>
      <c r="Q305" s="19">
        <f t="shared" si="107"/>
        <v>0</v>
      </c>
      <c r="R305" s="19">
        <f t="shared" ref="R305" si="108">R301-R314</f>
        <v>0</v>
      </c>
    </row>
    <row r="306" spans="1:18" x14ac:dyDescent="0.2">
      <c r="A306" s="42"/>
      <c r="B306" s="78"/>
      <c r="C306" s="96"/>
      <c r="D306" s="24"/>
      <c r="E306" s="24"/>
      <c r="F306" s="19">
        <f>F302-F315</f>
        <v>0</v>
      </c>
      <c r="G306" s="19">
        <f t="shared" ref="G306:Q306" si="109">G302-G315</f>
        <v>0</v>
      </c>
      <c r="H306" s="19">
        <f t="shared" si="109"/>
        <v>0</v>
      </c>
      <c r="I306" s="19">
        <f t="shared" si="109"/>
        <v>0</v>
      </c>
      <c r="J306" s="19">
        <f t="shared" si="109"/>
        <v>0</v>
      </c>
      <c r="K306" s="19">
        <f t="shared" si="109"/>
        <v>0</v>
      </c>
      <c r="L306" s="19">
        <f t="shared" si="109"/>
        <v>0</v>
      </c>
      <c r="M306" s="19">
        <f t="shared" si="109"/>
        <v>0</v>
      </c>
      <c r="N306" s="19">
        <f t="shared" si="109"/>
        <v>0</v>
      </c>
      <c r="O306" s="19">
        <f t="shared" si="109"/>
        <v>0</v>
      </c>
      <c r="P306" s="19">
        <f t="shared" si="109"/>
        <v>0</v>
      </c>
      <c r="Q306" s="19">
        <f t="shared" si="109"/>
        <v>0</v>
      </c>
      <c r="R306" s="19">
        <f t="shared" ref="R306" si="110">R302-R315</f>
        <v>0</v>
      </c>
    </row>
    <row r="307" spans="1:18" x14ac:dyDescent="0.2">
      <c r="A307" s="42"/>
      <c r="B307" s="2"/>
      <c r="D307" s="24"/>
      <c r="E307" s="24"/>
      <c r="F307" s="19">
        <f>F303-F316</f>
        <v>0</v>
      </c>
      <c r="G307" s="19">
        <f t="shared" ref="G307:Q307" si="111">G303-G316</f>
        <v>0</v>
      </c>
      <c r="H307" s="19">
        <f t="shared" si="111"/>
        <v>0</v>
      </c>
      <c r="I307" s="19">
        <f t="shared" si="111"/>
        <v>0</v>
      </c>
      <c r="J307" s="19">
        <f t="shared" si="111"/>
        <v>0</v>
      </c>
      <c r="K307" s="19">
        <f t="shared" si="111"/>
        <v>0</v>
      </c>
      <c r="L307" s="19">
        <f t="shared" si="111"/>
        <v>0</v>
      </c>
      <c r="M307" s="19">
        <f t="shared" si="111"/>
        <v>0</v>
      </c>
      <c r="N307" s="19">
        <f t="shared" si="111"/>
        <v>0</v>
      </c>
      <c r="O307" s="19">
        <f t="shared" si="111"/>
        <v>0</v>
      </c>
      <c r="P307" s="19">
        <f t="shared" si="111"/>
        <v>0</v>
      </c>
      <c r="Q307" s="19">
        <f t="shared" si="111"/>
        <v>0</v>
      </c>
      <c r="R307" s="19">
        <f t="shared" ref="R307" si="112">R303-R316</f>
        <v>0</v>
      </c>
    </row>
    <row r="308" spans="1:18" x14ac:dyDescent="0.2">
      <c r="A308" s="42"/>
      <c r="B308" s="2"/>
      <c r="D308" s="24"/>
      <c r="E308" s="24"/>
      <c r="F308" s="19">
        <f>F303-F316</f>
        <v>0</v>
      </c>
      <c r="G308" s="19">
        <f t="shared" ref="G308:Q308" si="113">G303-G316</f>
        <v>0</v>
      </c>
      <c r="H308" s="19">
        <f t="shared" si="113"/>
        <v>0</v>
      </c>
      <c r="I308" s="19">
        <f t="shared" si="113"/>
        <v>0</v>
      </c>
      <c r="J308" s="19">
        <f t="shared" si="113"/>
        <v>0</v>
      </c>
      <c r="K308" s="19">
        <f t="shared" si="113"/>
        <v>0</v>
      </c>
      <c r="L308" s="19">
        <f t="shared" si="113"/>
        <v>0</v>
      </c>
      <c r="M308" s="19">
        <f t="shared" si="113"/>
        <v>0</v>
      </c>
      <c r="N308" s="19">
        <f t="shared" si="113"/>
        <v>0</v>
      </c>
      <c r="O308" s="19">
        <f t="shared" si="113"/>
        <v>0</v>
      </c>
      <c r="P308" s="19">
        <f t="shared" si="113"/>
        <v>0</v>
      </c>
      <c r="Q308" s="19">
        <f t="shared" si="113"/>
        <v>0</v>
      </c>
      <c r="R308" s="19">
        <f t="shared" ref="R308" si="114">R303-R316</f>
        <v>0</v>
      </c>
    </row>
    <row r="309" spans="1:18" s="21" customFormat="1" ht="15" customHeight="1" x14ac:dyDescent="0.2">
      <c r="A309" s="42"/>
      <c r="B309" s="2"/>
      <c r="C309" s="30"/>
      <c r="D309" s="24"/>
      <c r="E309" s="24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</row>
    <row r="310" spans="1:18" s="22" customFormat="1" ht="15" customHeight="1" x14ac:dyDescent="0.2">
      <c r="A310" s="79"/>
      <c r="B310" s="80" t="s">
        <v>7</v>
      </c>
      <c r="C310" s="81"/>
      <c r="D310" s="48">
        <f>SUM(D314:D316)</f>
        <v>0</v>
      </c>
      <c r="E310" s="82"/>
      <c r="F310" s="49">
        <f>SUM(F314:F316)</f>
        <v>8341272</v>
      </c>
      <c r="G310" s="49">
        <f>SUM(G314:G316)</f>
        <v>3512643</v>
      </c>
      <c r="H310" s="105">
        <f>F310/G310</f>
        <v>2.3746426835861203</v>
      </c>
      <c r="I310" s="49">
        <f t="shared" ref="I310:R310" si="115">SUM(I314:I316)</f>
        <v>707588.30000000016</v>
      </c>
      <c r="J310" s="49">
        <f t="shared" si="115"/>
        <v>99837.599999999991</v>
      </c>
      <c r="K310" s="49">
        <f t="shared" si="115"/>
        <v>59287.89</v>
      </c>
      <c r="L310" s="49">
        <f t="shared" si="115"/>
        <v>0</v>
      </c>
      <c r="M310" s="49">
        <f t="shared" si="115"/>
        <v>3033249</v>
      </c>
      <c r="N310" s="49">
        <f t="shared" si="115"/>
        <v>2947854</v>
      </c>
      <c r="O310" s="49">
        <f t="shared" si="115"/>
        <v>1447520</v>
      </c>
      <c r="P310" s="49">
        <f t="shared" si="115"/>
        <v>753113</v>
      </c>
      <c r="Q310" s="49">
        <f t="shared" si="115"/>
        <v>3087425</v>
      </c>
      <c r="R310" s="49">
        <f t="shared" si="115"/>
        <v>3481380</v>
      </c>
    </row>
    <row r="311" spans="1:18" s="22" customFormat="1" ht="15" customHeight="1" x14ac:dyDescent="0.2">
      <c r="A311" s="83"/>
      <c r="B311" s="83" t="s">
        <v>173</v>
      </c>
      <c r="C311" s="84"/>
      <c r="D311" s="50"/>
      <c r="E311" s="84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</row>
    <row r="312" spans="1:18" x14ac:dyDescent="0.2">
      <c r="A312" s="83"/>
      <c r="B312" s="83" t="s">
        <v>173</v>
      </c>
      <c r="C312" s="84"/>
      <c r="D312" s="50"/>
      <c r="E312" s="84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</row>
    <row r="313" spans="1:18" s="23" customFormat="1" x14ac:dyDescent="0.2">
      <c r="A313" s="72"/>
      <c r="B313" s="52" t="s">
        <v>7</v>
      </c>
      <c r="C313" s="96"/>
      <c r="D313" s="24"/>
      <c r="E313" s="5"/>
      <c r="F313" s="24">
        <f>SUM(F314:F316)</f>
        <v>8341272</v>
      </c>
      <c r="G313" s="24">
        <f>SUM(G314:G316)</f>
        <v>3512643</v>
      </c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</row>
    <row r="314" spans="1:18" s="23" customFormat="1" x14ac:dyDescent="0.2">
      <c r="A314" s="53"/>
      <c r="B314" s="78" t="s">
        <v>458</v>
      </c>
      <c r="C314" s="54"/>
      <c r="D314" s="55"/>
      <c r="E314" s="56"/>
      <c r="F314" s="57">
        <f t="shared" ref="F314:N314" si="116">SUMIF($D$5:$D$132,"=S",F$5:F$132)</f>
        <v>6434099</v>
      </c>
      <c r="G314" s="57">
        <f t="shared" si="116"/>
        <v>2566478</v>
      </c>
      <c r="H314" s="102">
        <f>F314/G314</f>
        <v>2.5069760972040283</v>
      </c>
      <c r="I314" s="57">
        <f t="shared" si="116"/>
        <v>20545.2</v>
      </c>
      <c r="J314" s="57">
        <f t="shared" si="116"/>
        <v>98682.7</v>
      </c>
      <c r="K314" s="57">
        <f t="shared" si="116"/>
        <v>22432.450000000004</v>
      </c>
      <c r="L314" s="57">
        <f t="shared" si="116"/>
        <v>0</v>
      </c>
      <c r="M314" s="57">
        <f t="shared" si="116"/>
        <v>2332481</v>
      </c>
      <c r="N314" s="57">
        <f t="shared" si="116"/>
        <v>2258395</v>
      </c>
      <c r="O314" s="57">
        <f>SUMIF($D$5:$D$132,"=S",O$5:O$132)</f>
        <v>1220937</v>
      </c>
      <c r="P314" s="57">
        <f>SUMIF($D$5:$D$132,"=S",P$5:P$132)</f>
        <v>362246</v>
      </c>
      <c r="Q314" s="57">
        <f t="shared" ref="Q314:R314" si="117">SUMIF($D$5:$D$132,"=S",Q$5:Q$132)</f>
        <v>2537658</v>
      </c>
      <c r="R314" s="57">
        <f t="shared" si="117"/>
        <v>2566868</v>
      </c>
    </row>
    <row r="315" spans="1:18" s="23" customFormat="1" x14ac:dyDescent="0.2">
      <c r="A315" s="53"/>
      <c r="B315" s="78" t="s">
        <v>460</v>
      </c>
      <c r="C315" s="54"/>
      <c r="D315" s="55"/>
      <c r="E315" s="56"/>
      <c r="F315" s="58">
        <f>SUMIF($D$5:$D$132,"=R",F$5:F$132)</f>
        <v>851504</v>
      </c>
      <c r="G315" s="58">
        <f>SUMIF($D$5:$D$132,"=R",G$5:G$132)</f>
        <v>396778</v>
      </c>
      <c r="H315" s="103">
        <f>F315/G315</f>
        <v>2.1460464037824676</v>
      </c>
      <c r="I315" s="58">
        <f t="shared" ref="I315:R315" si="118">SUMIF($D$5:$D$132,"=R",I$5:I$132)</f>
        <v>64714.200000000012</v>
      </c>
      <c r="J315" s="58">
        <f t="shared" si="118"/>
        <v>516.20000000000005</v>
      </c>
      <c r="K315" s="58">
        <f t="shared" si="118"/>
        <v>9584.17</v>
      </c>
      <c r="L315" s="58">
        <f t="shared" si="118"/>
        <v>0</v>
      </c>
      <c r="M315" s="58">
        <f t="shared" si="118"/>
        <v>297125</v>
      </c>
      <c r="N315" s="58">
        <f t="shared" si="118"/>
        <v>323782</v>
      </c>
      <c r="O315" s="58">
        <f t="shared" si="118"/>
        <v>167501</v>
      </c>
      <c r="P315" s="58">
        <f t="shared" si="118"/>
        <v>173367</v>
      </c>
      <c r="Q315" s="58">
        <f t="shared" si="118"/>
        <v>296830</v>
      </c>
      <c r="R315" s="58">
        <f t="shared" si="118"/>
        <v>396778</v>
      </c>
    </row>
    <row r="316" spans="1:18" x14ac:dyDescent="0.2">
      <c r="A316" s="53"/>
      <c r="B316" s="47" t="s">
        <v>461</v>
      </c>
      <c r="C316" s="54"/>
      <c r="D316" s="55"/>
      <c r="E316" s="56"/>
      <c r="F316" s="59">
        <f t="shared" ref="F316:N316" si="119">SUMIF($D$5:$D$132,"=N",F$5:F$132)</f>
        <v>1055669</v>
      </c>
      <c r="G316" s="59">
        <f t="shared" si="119"/>
        <v>549387</v>
      </c>
      <c r="H316" s="104">
        <f>F316/G316</f>
        <v>1.9215398252961937</v>
      </c>
      <c r="I316" s="59">
        <f t="shared" si="119"/>
        <v>622328.90000000014</v>
      </c>
      <c r="J316" s="59">
        <f t="shared" si="119"/>
        <v>638.70000000000005</v>
      </c>
      <c r="K316" s="59">
        <f t="shared" si="119"/>
        <v>27271.27</v>
      </c>
      <c r="L316" s="59">
        <f t="shared" si="119"/>
        <v>0</v>
      </c>
      <c r="M316" s="59">
        <f t="shared" si="119"/>
        <v>403643</v>
      </c>
      <c r="N316" s="59">
        <f t="shared" si="119"/>
        <v>365677</v>
      </c>
      <c r="O316" s="59">
        <f>SUMIF($D$5:$D$132,"=N",O$5:O$132)</f>
        <v>59082</v>
      </c>
      <c r="P316" s="59">
        <f>SUMIF($D$5:$D$132,"=N",P$5:P$132)</f>
        <v>217500</v>
      </c>
      <c r="Q316" s="59">
        <f t="shared" ref="Q316:R316" si="120">SUMIF($D$5:$D$132,"=N",Q$5:Q$132)</f>
        <v>252937</v>
      </c>
      <c r="R316" s="59">
        <f t="shared" si="120"/>
        <v>517734</v>
      </c>
    </row>
    <row r="317" spans="1:18" x14ac:dyDescent="0.2">
      <c r="A317" s="53"/>
      <c r="B317" s="78"/>
      <c r="C317" s="60"/>
      <c r="D317" s="55"/>
      <c r="E317" s="56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</row>
    <row r="318" spans="1:18" x14ac:dyDescent="0.2">
      <c r="B318" s="86"/>
      <c r="C318" s="9" t="s">
        <v>19</v>
      </c>
      <c r="D318" s="64">
        <f>COUNTIF($C$5:$C$132,"NEWF")</f>
        <v>7</v>
      </c>
      <c r="F318" s="10">
        <f>F344</f>
        <v>315775</v>
      </c>
      <c r="G318" s="10">
        <f t="shared" ref="G318:R318" si="121">G344</f>
        <v>147852</v>
      </c>
      <c r="H318" s="70">
        <f t="shared" si="121"/>
        <v>2.1357506154803452</v>
      </c>
      <c r="I318" s="10">
        <f t="shared" si="121"/>
        <v>20706.600000000002</v>
      </c>
      <c r="J318" s="10">
        <f t="shared" si="121"/>
        <v>288.60000000000002</v>
      </c>
      <c r="K318" s="10">
        <f t="shared" si="121"/>
        <v>3282.3</v>
      </c>
      <c r="L318" s="10">
        <f t="shared" si="121"/>
        <v>0</v>
      </c>
      <c r="M318" s="10">
        <f t="shared" si="121"/>
        <v>80575</v>
      </c>
      <c r="N318" s="10">
        <f t="shared" si="121"/>
        <v>118982</v>
      </c>
      <c r="O318" s="10">
        <f t="shared" si="121"/>
        <v>0</v>
      </c>
      <c r="P318" s="10">
        <f t="shared" si="121"/>
        <v>92092</v>
      </c>
      <c r="Q318" s="10">
        <f t="shared" si="121"/>
        <v>64088</v>
      </c>
      <c r="R318" s="10">
        <f t="shared" si="121"/>
        <v>147852</v>
      </c>
    </row>
    <row r="319" spans="1:18" x14ac:dyDescent="0.2">
      <c r="B319" s="86"/>
      <c r="C319" s="8" t="s">
        <v>16</v>
      </c>
      <c r="D319" s="64">
        <f>COUNTIF($C$5:$C$132,"NIRW")</f>
        <v>12</v>
      </c>
      <c r="F319" s="10">
        <f>F364</f>
        <v>189390</v>
      </c>
      <c r="G319" s="10">
        <f t="shared" ref="G319:R319" si="122">G364</f>
        <v>92169</v>
      </c>
      <c r="H319" s="70">
        <f t="shared" si="122"/>
        <v>2.0548123555642355</v>
      </c>
      <c r="I319" s="10">
        <f t="shared" si="122"/>
        <v>99637</v>
      </c>
      <c r="J319" s="10">
        <f t="shared" si="122"/>
        <v>23.7</v>
      </c>
      <c r="K319" s="10">
        <f t="shared" si="122"/>
        <v>5396.65</v>
      </c>
      <c r="L319" s="10">
        <f t="shared" si="122"/>
        <v>0</v>
      </c>
      <c r="M319" s="10">
        <f t="shared" si="122"/>
        <v>68872</v>
      </c>
      <c r="N319" s="10">
        <f t="shared" si="122"/>
        <v>64627</v>
      </c>
      <c r="O319" s="10">
        <f t="shared" si="122"/>
        <v>26483</v>
      </c>
      <c r="P319" s="10">
        <f t="shared" si="122"/>
        <v>20489</v>
      </c>
      <c r="Q319" s="10">
        <f t="shared" si="122"/>
        <v>55176</v>
      </c>
      <c r="R319" s="10">
        <f t="shared" si="122"/>
        <v>90540</v>
      </c>
    </row>
    <row r="320" spans="1:18" x14ac:dyDescent="0.2">
      <c r="B320" s="86"/>
      <c r="C320" s="8" t="s">
        <v>39</v>
      </c>
      <c r="D320" s="64">
        <f>COUNTIF($C$5:$C$132,"MidWaste")</f>
        <v>6</v>
      </c>
      <c r="F320" s="10">
        <f>F378</f>
        <v>333452</v>
      </c>
      <c r="G320" s="10">
        <f t="shared" ref="G320:R320" si="123">G378</f>
        <v>158701</v>
      </c>
      <c r="H320" s="70">
        <f t="shared" si="123"/>
        <v>2.1011335782383225</v>
      </c>
      <c r="I320" s="10">
        <f t="shared" si="123"/>
        <v>21377.4</v>
      </c>
      <c r="J320" s="10">
        <f t="shared" si="123"/>
        <v>134.1</v>
      </c>
      <c r="K320" s="10">
        <f t="shared" si="123"/>
        <v>3517.77</v>
      </c>
      <c r="L320" s="10">
        <f t="shared" si="123"/>
        <v>0</v>
      </c>
      <c r="M320" s="10">
        <f t="shared" si="123"/>
        <v>138057</v>
      </c>
      <c r="N320" s="10">
        <f t="shared" si="123"/>
        <v>128415</v>
      </c>
      <c r="O320" s="10">
        <f t="shared" si="123"/>
        <v>38850</v>
      </c>
      <c r="P320" s="10">
        <f t="shared" si="123"/>
        <v>81275</v>
      </c>
      <c r="Q320" s="10">
        <f t="shared" si="123"/>
        <v>142517</v>
      </c>
      <c r="R320" s="10">
        <f t="shared" si="123"/>
        <v>158701</v>
      </c>
    </row>
    <row r="321" spans="1:18" x14ac:dyDescent="0.2">
      <c r="B321" s="86"/>
      <c r="C321" s="8" t="s">
        <v>38</v>
      </c>
      <c r="D321" s="64">
        <f>COUNTIF($C$5:$C$132,"NetWaste")</f>
        <v>25</v>
      </c>
      <c r="F321" s="10">
        <f>F411</f>
        <v>326759</v>
      </c>
      <c r="G321" s="10">
        <f t="shared" ref="G321:R321" si="124">G411</f>
        <v>174267</v>
      </c>
      <c r="H321" s="70">
        <f t="shared" si="124"/>
        <v>1.8750480584390619</v>
      </c>
      <c r="I321" s="10">
        <f t="shared" si="124"/>
        <v>307974.09999999998</v>
      </c>
      <c r="J321" s="10">
        <f t="shared" si="124"/>
        <v>309.39999999999992</v>
      </c>
      <c r="K321" s="10">
        <f t="shared" si="124"/>
        <v>10776.67</v>
      </c>
      <c r="L321" s="10">
        <f t="shared" si="124"/>
        <v>0</v>
      </c>
      <c r="M321" s="10">
        <f t="shared" si="124"/>
        <v>125335</v>
      </c>
      <c r="N321" s="10">
        <f t="shared" si="124"/>
        <v>113374</v>
      </c>
      <c r="O321" s="10">
        <f t="shared" si="124"/>
        <v>0</v>
      </c>
      <c r="P321" s="10">
        <f t="shared" si="124"/>
        <v>79264</v>
      </c>
      <c r="Q321" s="10">
        <f t="shared" si="124"/>
        <v>87726</v>
      </c>
      <c r="R321" s="10">
        <f t="shared" si="124"/>
        <v>155518</v>
      </c>
    </row>
    <row r="322" spans="1:18" x14ac:dyDescent="0.2">
      <c r="B322" s="86"/>
      <c r="C322" s="8" t="s">
        <v>21</v>
      </c>
      <c r="D322" s="64">
        <f>COUNTIF($C$5:$C$132,"REROC")</f>
        <v>8</v>
      </c>
      <c r="F322" s="10">
        <f>F427</f>
        <v>117543</v>
      </c>
      <c r="G322" s="10">
        <f t="shared" ref="G322:R322" si="125">G427</f>
        <v>56029</v>
      </c>
      <c r="H322" s="70">
        <f t="shared" si="125"/>
        <v>2.0978957325670633</v>
      </c>
      <c r="I322" s="10">
        <f t="shared" si="125"/>
        <v>33271.699999999997</v>
      </c>
      <c r="J322" s="10">
        <f t="shared" si="125"/>
        <v>28.2</v>
      </c>
      <c r="K322" s="10">
        <f t="shared" si="125"/>
        <v>3114</v>
      </c>
      <c r="L322" s="10">
        <f t="shared" si="125"/>
        <v>0</v>
      </c>
      <c r="M322" s="10">
        <f t="shared" si="125"/>
        <v>46223</v>
      </c>
      <c r="N322" s="10">
        <f t="shared" si="125"/>
        <v>38144</v>
      </c>
      <c r="O322" s="10">
        <f t="shared" si="125"/>
        <v>3043</v>
      </c>
      <c r="P322" s="10">
        <f t="shared" si="125"/>
        <v>33417</v>
      </c>
      <c r="Q322" s="10">
        <f t="shared" si="125"/>
        <v>34588</v>
      </c>
      <c r="R322" s="10">
        <f t="shared" si="125"/>
        <v>56029</v>
      </c>
    </row>
    <row r="323" spans="1:18" x14ac:dyDescent="0.2">
      <c r="B323" s="86"/>
      <c r="C323" s="8" t="s">
        <v>68</v>
      </c>
      <c r="D323" s="64">
        <f>COUNTIF($C$5:$C$132,"RAMJO Riverina")</f>
        <v>6</v>
      </c>
      <c r="F323" s="10">
        <f>F441</f>
        <v>53457</v>
      </c>
      <c r="G323" s="10">
        <f t="shared" ref="G323:R323" si="126">G441</f>
        <v>24976</v>
      </c>
      <c r="H323" s="70">
        <f t="shared" si="126"/>
        <v>2.1403347213324793</v>
      </c>
      <c r="I323" s="10">
        <f t="shared" si="126"/>
        <v>44063.9</v>
      </c>
      <c r="J323" s="10">
        <f t="shared" si="126"/>
        <v>28.6</v>
      </c>
      <c r="K323" s="10">
        <f t="shared" si="126"/>
        <v>1446</v>
      </c>
      <c r="L323" s="10">
        <f t="shared" si="126"/>
        <v>0</v>
      </c>
      <c r="M323" s="10">
        <f t="shared" si="126"/>
        <v>18624</v>
      </c>
      <c r="N323" s="10">
        <f t="shared" si="126"/>
        <v>15652</v>
      </c>
      <c r="O323" s="10">
        <f t="shared" si="126"/>
        <v>0</v>
      </c>
      <c r="P323" s="10">
        <f t="shared" si="126"/>
        <v>0</v>
      </c>
      <c r="Q323" s="10">
        <f t="shared" si="126"/>
        <v>4548</v>
      </c>
      <c r="R323" s="10">
        <f t="shared" si="126"/>
        <v>23605</v>
      </c>
    </row>
    <row r="324" spans="1:18" x14ac:dyDescent="0.2">
      <c r="B324" s="86"/>
      <c r="C324" s="8" t="s">
        <v>67</v>
      </c>
      <c r="D324" s="64">
        <f>COUNTIF($C$5:$C$132,"CRJO")</f>
        <v>10</v>
      </c>
      <c r="F324" s="10">
        <f>F459</f>
        <v>310884</v>
      </c>
      <c r="G324" s="10">
        <f t="shared" ref="G324:R324" si="127">G459</f>
        <v>161723</v>
      </c>
      <c r="H324" s="70">
        <f t="shared" si="127"/>
        <v>1.9223239737081306</v>
      </c>
      <c r="I324" s="10">
        <f t="shared" si="127"/>
        <v>63322.100000000006</v>
      </c>
      <c r="J324" s="10">
        <f t="shared" si="127"/>
        <v>71.400000000000006</v>
      </c>
      <c r="K324" s="10">
        <f t="shared" si="127"/>
        <v>4495.8500000000004</v>
      </c>
      <c r="L324" s="10">
        <f t="shared" si="127"/>
        <v>0</v>
      </c>
      <c r="M324" s="10">
        <f t="shared" si="127"/>
        <v>118838</v>
      </c>
      <c r="N324" s="10">
        <f t="shared" si="127"/>
        <v>116449</v>
      </c>
      <c r="O324" s="10">
        <f t="shared" si="127"/>
        <v>50220</v>
      </c>
      <c r="P324" s="10">
        <f t="shared" si="127"/>
        <v>50031</v>
      </c>
      <c r="Q324" s="10">
        <f t="shared" si="127"/>
        <v>92603</v>
      </c>
      <c r="R324" s="10">
        <f t="shared" si="127"/>
        <v>161723</v>
      </c>
    </row>
    <row r="325" spans="1:18" x14ac:dyDescent="0.2">
      <c r="B325" s="86"/>
      <c r="C325" s="8" t="s">
        <v>15</v>
      </c>
      <c r="D325" s="64">
        <f>COUNTIF($C$5:$C$132,"RAMJO Murray")</f>
        <v>7</v>
      </c>
      <c r="F325" s="10">
        <f>F474</f>
        <v>110745</v>
      </c>
      <c r="G325" s="10">
        <f t="shared" ref="G325:R325" si="128">G474</f>
        <v>61927</v>
      </c>
      <c r="H325" s="70">
        <f t="shared" si="128"/>
        <v>1.7883152744360296</v>
      </c>
      <c r="I325" s="10">
        <f t="shared" si="128"/>
        <v>76749.399999999994</v>
      </c>
      <c r="J325" s="10">
        <f t="shared" si="128"/>
        <v>197.1</v>
      </c>
      <c r="K325" s="10">
        <f t="shared" si="128"/>
        <v>2553</v>
      </c>
      <c r="L325" s="10">
        <f t="shared" si="128"/>
        <v>0</v>
      </c>
      <c r="M325" s="10">
        <f t="shared" si="128"/>
        <v>46282</v>
      </c>
      <c r="N325" s="10">
        <f t="shared" si="128"/>
        <v>37962</v>
      </c>
      <c r="O325" s="10">
        <f t="shared" si="128"/>
        <v>0</v>
      </c>
      <c r="P325" s="10">
        <f t="shared" si="128"/>
        <v>34299</v>
      </c>
      <c r="Q325" s="10">
        <f t="shared" si="128"/>
        <v>0</v>
      </c>
      <c r="R325" s="10">
        <f t="shared" si="128"/>
        <v>52023</v>
      </c>
    </row>
    <row r="326" spans="1:18" x14ac:dyDescent="0.2">
      <c r="B326" s="86"/>
      <c r="C326" s="8" t="s">
        <v>23</v>
      </c>
      <c r="D326" s="64">
        <f>COUNTIF($C$5:$C$132,"Hunter")</f>
        <v>10</v>
      </c>
      <c r="F326" s="10">
        <f>F492</f>
        <v>1052988</v>
      </c>
      <c r="G326" s="10">
        <f t="shared" ref="G326:R326" si="129">G492</f>
        <v>446831</v>
      </c>
      <c r="H326" s="70">
        <f t="shared" si="129"/>
        <v>2.3565688146077601</v>
      </c>
      <c r="I326" s="10">
        <f t="shared" si="129"/>
        <v>24375.1</v>
      </c>
      <c r="J326" s="10">
        <f t="shared" si="129"/>
        <v>1867.1</v>
      </c>
      <c r="K326" s="10">
        <f t="shared" si="129"/>
        <v>4984.3500000000004</v>
      </c>
      <c r="L326" s="10">
        <f t="shared" si="129"/>
        <v>0</v>
      </c>
      <c r="M326" s="10">
        <f t="shared" si="129"/>
        <v>405011</v>
      </c>
      <c r="N326" s="10">
        <f t="shared" si="129"/>
        <v>386224</v>
      </c>
      <c r="O326" s="10">
        <f t="shared" si="129"/>
        <v>270045</v>
      </c>
      <c r="P326" s="10">
        <f t="shared" si="129"/>
        <v>86426</v>
      </c>
      <c r="Q326" s="10">
        <f t="shared" si="129"/>
        <v>417621</v>
      </c>
      <c r="R326" s="10">
        <f t="shared" si="129"/>
        <v>446831</v>
      </c>
    </row>
    <row r="327" spans="1:18" x14ac:dyDescent="0.2">
      <c r="B327" s="86"/>
      <c r="C327" s="8" t="s">
        <v>17</v>
      </c>
      <c r="D327" s="64">
        <f>COUNTIF($C$5:$C$132,"SSROC")</f>
        <v>11</v>
      </c>
      <c r="F327" s="10">
        <f>F511</f>
        <v>1777104</v>
      </c>
      <c r="G327" s="10">
        <f t="shared" ref="G327:R327" si="130">G511</f>
        <v>744413</v>
      </c>
      <c r="H327" s="70">
        <f t="shared" si="130"/>
        <v>2.387255461685919</v>
      </c>
      <c r="I327" s="10">
        <f t="shared" si="130"/>
        <v>679.6</v>
      </c>
      <c r="J327" s="10">
        <f t="shared" si="130"/>
        <v>52447.899999999994</v>
      </c>
      <c r="K327" s="10">
        <f t="shared" si="130"/>
        <v>5906.5099999999993</v>
      </c>
      <c r="L327" s="10">
        <f t="shared" si="130"/>
        <v>0</v>
      </c>
      <c r="M327" s="10">
        <f t="shared" si="130"/>
        <v>688549</v>
      </c>
      <c r="N327" s="10">
        <f t="shared" si="130"/>
        <v>729922</v>
      </c>
      <c r="O327" s="10">
        <f t="shared" si="130"/>
        <v>382369</v>
      </c>
      <c r="P327" s="10">
        <f t="shared" si="130"/>
        <v>81166</v>
      </c>
      <c r="Q327" s="10">
        <f t="shared" si="130"/>
        <v>744413</v>
      </c>
      <c r="R327" s="10">
        <f t="shared" si="130"/>
        <v>744413</v>
      </c>
    </row>
    <row r="328" spans="1:18" x14ac:dyDescent="0.2">
      <c r="B328" s="86"/>
      <c r="C328" s="8" t="s">
        <v>37</v>
      </c>
      <c r="D328" s="64">
        <f>COUNTIF($C$5:$C$132,"ISJO")</f>
        <v>4</v>
      </c>
      <c r="F328" s="10">
        <f>F523</f>
        <v>431776</v>
      </c>
      <c r="G328" s="10">
        <f t="shared" ref="G328:R328" si="131">G523</f>
        <v>207792</v>
      </c>
      <c r="H328" s="70">
        <f t="shared" si="131"/>
        <v>2.0779240779240777</v>
      </c>
      <c r="I328" s="10">
        <f t="shared" si="131"/>
        <v>5656.6</v>
      </c>
      <c r="J328" s="10">
        <f t="shared" si="131"/>
        <v>974.5</v>
      </c>
      <c r="K328" s="10">
        <f t="shared" si="131"/>
        <v>2081</v>
      </c>
      <c r="L328" s="10">
        <f t="shared" si="131"/>
        <v>0</v>
      </c>
      <c r="M328" s="10">
        <f t="shared" si="131"/>
        <v>183874</v>
      </c>
      <c r="N328" s="10">
        <f t="shared" si="131"/>
        <v>184639</v>
      </c>
      <c r="O328" s="10">
        <f t="shared" si="131"/>
        <v>0</v>
      </c>
      <c r="P328" s="10">
        <f t="shared" si="131"/>
        <v>125072</v>
      </c>
      <c r="Q328" s="10">
        <f t="shared" si="131"/>
        <v>208182</v>
      </c>
      <c r="R328" s="10">
        <f t="shared" si="131"/>
        <v>208182</v>
      </c>
    </row>
    <row r="329" spans="1:18" x14ac:dyDescent="0.2">
      <c r="B329" s="86"/>
      <c r="C329" s="8" t="s">
        <v>182</v>
      </c>
      <c r="D329" s="64">
        <f>COUNTIF($C$5:$C$132,"MSWA")</f>
        <v>4</v>
      </c>
      <c r="F329" s="10">
        <f>F534</f>
        <v>377211</v>
      </c>
      <c r="G329" s="10">
        <f t="shared" ref="G329:R329" si="132">G534</f>
        <v>129256</v>
      </c>
      <c r="H329" s="70">
        <f t="shared" si="132"/>
        <v>2.9183248746673267</v>
      </c>
      <c r="I329" s="10">
        <f t="shared" si="132"/>
        <v>3068.3</v>
      </c>
      <c r="J329" s="10">
        <f t="shared" si="132"/>
        <v>1284.8</v>
      </c>
      <c r="K329" s="10">
        <f t="shared" si="132"/>
        <v>1387.8600000000001</v>
      </c>
      <c r="L329" s="10">
        <f t="shared" si="132"/>
        <v>0</v>
      </c>
      <c r="M329" s="10">
        <f t="shared" si="132"/>
        <v>119982</v>
      </c>
      <c r="N329" s="10">
        <f t="shared" si="132"/>
        <v>118837</v>
      </c>
      <c r="O329" s="10">
        <f t="shared" si="132"/>
        <v>108820</v>
      </c>
      <c r="P329" s="10">
        <f t="shared" si="132"/>
        <v>0</v>
      </c>
      <c r="Q329" s="10">
        <f t="shared" si="132"/>
        <v>129256</v>
      </c>
      <c r="R329" s="10">
        <f t="shared" si="132"/>
        <v>129256</v>
      </c>
    </row>
    <row r="330" spans="1:18" x14ac:dyDescent="0.2">
      <c r="B330" s="86"/>
      <c r="C330" s="8" t="s">
        <v>24</v>
      </c>
      <c r="D330" s="64">
        <f>COUNTIF($C$5:$C$132,"NSROC")</f>
        <v>8</v>
      </c>
      <c r="F330" s="10">
        <f>F550</f>
        <v>651315</v>
      </c>
      <c r="G330" s="10">
        <f t="shared" ref="G330:R330" si="133">G550</f>
        <v>266882</v>
      </c>
      <c r="H330" s="70">
        <f t="shared" si="133"/>
        <v>2.4404605780831976</v>
      </c>
      <c r="I330" s="10">
        <f t="shared" si="133"/>
        <v>638.70000000000005</v>
      </c>
      <c r="J330" s="10">
        <f t="shared" si="133"/>
        <v>25296.299999999996</v>
      </c>
      <c r="K330" s="10">
        <f t="shared" si="133"/>
        <v>4087.5</v>
      </c>
      <c r="L330" s="10">
        <f t="shared" si="133"/>
        <v>0</v>
      </c>
      <c r="M330" s="10">
        <f t="shared" si="133"/>
        <v>215664</v>
      </c>
      <c r="N330" s="10">
        <f t="shared" si="133"/>
        <v>217121</v>
      </c>
      <c r="O330" s="10">
        <f t="shared" si="133"/>
        <v>160122</v>
      </c>
      <c r="P330" s="10">
        <f t="shared" si="133"/>
        <v>0</v>
      </c>
      <c r="Q330" s="10">
        <f t="shared" si="133"/>
        <v>266882</v>
      </c>
      <c r="R330" s="10">
        <f t="shared" si="133"/>
        <v>266882</v>
      </c>
    </row>
    <row r="331" spans="1:18" x14ac:dyDescent="0.2">
      <c r="B331" s="86"/>
      <c r="C331" s="8" t="s">
        <v>18</v>
      </c>
      <c r="D331" s="64">
        <f>COUNTIF($C$5:$C$132,"WSROC")</f>
        <v>8</v>
      </c>
      <c r="F331" s="10">
        <f>F567</f>
        <v>1977128</v>
      </c>
      <c r="G331" s="10">
        <f t="shared" ref="G331:R331" si="134">G567</f>
        <v>702064</v>
      </c>
      <c r="H331" s="70">
        <f t="shared" si="134"/>
        <v>2.8161649080425715</v>
      </c>
      <c r="I331" s="10">
        <f t="shared" si="134"/>
        <v>5799.5999999999995</v>
      </c>
      <c r="J331" s="10">
        <f t="shared" si="134"/>
        <v>12416.2</v>
      </c>
      <c r="K331" s="10">
        <f t="shared" si="134"/>
        <v>4943.43</v>
      </c>
      <c r="L331" s="10">
        <f t="shared" si="134"/>
        <v>0</v>
      </c>
      <c r="M331" s="10">
        <f t="shared" si="134"/>
        <v>639555</v>
      </c>
      <c r="N331" s="10">
        <f t="shared" si="134"/>
        <v>540397</v>
      </c>
      <c r="O331" s="10">
        <f t="shared" si="134"/>
        <v>304682</v>
      </c>
      <c r="P331" s="10">
        <f t="shared" si="134"/>
        <v>69582</v>
      </c>
      <c r="Q331" s="10">
        <f t="shared" si="134"/>
        <v>702064</v>
      </c>
      <c r="R331" s="10">
        <f t="shared" si="134"/>
        <v>702064</v>
      </c>
    </row>
    <row r="332" spans="1:18" x14ac:dyDescent="0.2">
      <c r="B332" s="86"/>
      <c r="C332" s="64" t="s">
        <v>40</v>
      </c>
      <c r="D332" s="64">
        <v>2</v>
      </c>
      <c r="F332" s="10">
        <f>F578</f>
        <v>315745</v>
      </c>
      <c r="G332" s="10">
        <f t="shared" ref="G332:R332" si="135">G578</f>
        <v>137761</v>
      </c>
      <c r="H332" s="70">
        <f t="shared" si="135"/>
        <v>2.2919766842575187</v>
      </c>
      <c r="I332" s="10">
        <f t="shared" si="135"/>
        <v>268.2</v>
      </c>
      <c r="J332" s="10">
        <f t="shared" si="135"/>
        <v>4469.7000000000007</v>
      </c>
      <c r="K332" s="10">
        <f t="shared" si="135"/>
        <v>1315</v>
      </c>
      <c r="L332" s="10">
        <f t="shared" si="135"/>
        <v>0</v>
      </c>
      <c r="M332" s="10">
        <f t="shared" si="135"/>
        <v>137808</v>
      </c>
      <c r="N332" s="10">
        <f t="shared" si="135"/>
        <v>137109</v>
      </c>
      <c r="O332" s="10">
        <f t="shared" si="135"/>
        <v>102886</v>
      </c>
      <c r="P332" s="10">
        <f t="shared" si="135"/>
        <v>0</v>
      </c>
      <c r="Q332" s="10">
        <f t="shared" si="135"/>
        <v>137761</v>
      </c>
      <c r="R332" s="10">
        <f t="shared" si="135"/>
        <v>137761</v>
      </c>
    </row>
    <row r="333" spans="1:18" s="94" customFormat="1" x14ac:dyDescent="0.2">
      <c r="B333" s="99"/>
      <c r="C333" s="96"/>
      <c r="D333" s="96">
        <f>SUM(D318:D332)</f>
        <v>128</v>
      </c>
      <c r="E333" s="100"/>
      <c r="F333" s="101">
        <f>SUM(F318:F332)</f>
        <v>8341272</v>
      </c>
      <c r="G333" s="101">
        <f t="shared" ref="G333:R333" si="136">SUM(G318:G332)</f>
        <v>3512643</v>
      </c>
      <c r="H333" s="106">
        <f>F333/G333</f>
        <v>2.3746426835861203</v>
      </c>
      <c r="I333" s="101">
        <f t="shared" si="136"/>
        <v>707588.29999999981</v>
      </c>
      <c r="J333" s="101">
        <f t="shared" si="136"/>
        <v>99837.599999999977</v>
      </c>
      <c r="K333" s="101">
        <f t="shared" si="136"/>
        <v>59287.89</v>
      </c>
      <c r="L333" s="101">
        <f t="shared" si="136"/>
        <v>0</v>
      </c>
      <c r="M333" s="101">
        <f t="shared" si="136"/>
        <v>3033249</v>
      </c>
      <c r="N333" s="101">
        <f t="shared" si="136"/>
        <v>2947854</v>
      </c>
      <c r="O333" s="101">
        <f t="shared" si="136"/>
        <v>1447520</v>
      </c>
      <c r="P333" s="101">
        <f t="shared" si="136"/>
        <v>753113</v>
      </c>
      <c r="Q333" s="101">
        <f t="shared" si="136"/>
        <v>3087425</v>
      </c>
      <c r="R333" s="101">
        <f t="shared" si="136"/>
        <v>3481380</v>
      </c>
    </row>
    <row r="335" spans="1:18" ht="13.5" thickBot="1" x14ac:dyDescent="0.25">
      <c r="A335" s="25"/>
      <c r="B335" s="25"/>
      <c r="C335" s="26" t="s">
        <v>19</v>
      </c>
      <c r="D335" s="26"/>
    </row>
    <row r="336" spans="1:18" ht="13.5" thickTop="1" x14ac:dyDescent="0.2">
      <c r="A336" s="8">
        <v>10250</v>
      </c>
      <c r="B336" s="77" t="str">
        <f t="shared" ref="B336:B342" si="137">VLOOKUP($A336,$A$5:$K$132,2,FALSE)</f>
        <v>Ballina</v>
      </c>
      <c r="C336" s="9" t="str">
        <f t="shared" ref="C336:C342" si="138">VLOOKUP($A336,$A$5:$K$133,3,FALSE)</f>
        <v>NEWF</v>
      </c>
      <c r="D336" s="45" t="str">
        <f t="shared" ref="D336:D342" si="139">VLOOKUP($A336,$A$5:$K$133,4,FALSE)</f>
        <v>R</v>
      </c>
      <c r="E336" s="10" t="str">
        <f t="shared" ref="E336:E342" si="140">VLOOKUP($A336,$A$5:$R$132,5,FALSE)</f>
        <v>NRJO</v>
      </c>
      <c r="F336" s="10">
        <f t="shared" ref="F336:F342" si="141">VLOOKUP($A336,$A$5:$R$132,6,FALSE)</f>
        <v>47279</v>
      </c>
      <c r="G336" s="10">
        <f t="shared" ref="G336:G342" si="142">VLOOKUP($A336,$A$5:$R$132,7,FALSE)</f>
        <v>20986</v>
      </c>
      <c r="H336" s="10">
        <f t="shared" ref="H336:H342" si="143">VLOOKUP($A336,$A$5:$R$132,8,FALSE)</f>
        <v>2.2528828742971503</v>
      </c>
      <c r="I336" s="10">
        <f t="shared" ref="I336:I342" si="144">VLOOKUP($A336,$A$5:$R$132,9,FALSE)</f>
        <v>485</v>
      </c>
      <c r="J336" s="10">
        <f t="shared" ref="J336:J342" si="145">VLOOKUP($A336,$A$5:$R$132,10,FALSE)</f>
        <v>97.5</v>
      </c>
      <c r="K336" s="10">
        <f t="shared" ref="K336:K342" si="146">VLOOKUP($A336,$A$5:$R$132,11,FALSE)</f>
        <v>437</v>
      </c>
      <c r="L336" s="10">
        <f t="shared" ref="L336:L342" si="147">VLOOKUP($A336,$A$4:$R$132,12,FALSE)</f>
        <v>0</v>
      </c>
      <c r="M336" s="10">
        <f t="shared" ref="M336:M342" si="148">VLOOKUP($A336,$A$4:$R$132,13,FALSE)</f>
        <v>17823</v>
      </c>
      <c r="N336" s="10">
        <f t="shared" ref="N336:N342" si="149">VLOOKUP($A336,$A$4:$R$132,14,FALSE)</f>
        <v>16902</v>
      </c>
      <c r="O336" s="10">
        <f t="shared" ref="O336:O342" si="150">VLOOKUP($A336,$A$4:$R$132,15,FALSE)</f>
        <v>0</v>
      </c>
      <c r="P336" s="10">
        <f t="shared" ref="P336:P342" si="151">VLOOKUP($A336,$A$4:$R$132,16,FALSE)</f>
        <v>14395</v>
      </c>
      <c r="Q336" s="10">
        <f t="shared" ref="Q336:Q342" si="152">VLOOKUP($A336,$A$4:$R$132,17,FALSE)</f>
        <v>0</v>
      </c>
      <c r="R336" s="10">
        <f t="shared" ref="R336:R342" si="153">VLOOKUP($A336,$A$4:$R$132,18,FALSE)</f>
        <v>20986</v>
      </c>
    </row>
    <row r="337" spans="1:18" x14ac:dyDescent="0.2">
      <c r="A337" s="8">
        <v>11350</v>
      </c>
      <c r="B337" s="77" t="str">
        <f t="shared" si="137"/>
        <v>Byron</v>
      </c>
      <c r="C337" s="9" t="str">
        <f t="shared" si="138"/>
        <v>NEWF</v>
      </c>
      <c r="D337" s="45" t="str">
        <f t="shared" si="139"/>
        <v>R</v>
      </c>
      <c r="E337" s="10" t="str">
        <f t="shared" si="140"/>
        <v>NRJO</v>
      </c>
      <c r="F337" s="10">
        <f t="shared" si="141"/>
        <v>37126</v>
      </c>
      <c r="G337" s="10">
        <f t="shared" si="142"/>
        <v>14717</v>
      </c>
      <c r="H337" s="10">
        <f t="shared" si="143"/>
        <v>2.5226608683835021</v>
      </c>
      <c r="I337" s="10">
        <f t="shared" si="144"/>
        <v>565.79999999999995</v>
      </c>
      <c r="J337" s="10">
        <f t="shared" si="145"/>
        <v>65.599999999999994</v>
      </c>
      <c r="K337" s="10">
        <f t="shared" si="146"/>
        <v>533</v>
      </c>
      <c r="L337" s="10">
        <f t="shared" si="147"/>
        <v>0</v>
      </c>
      <c r="M337" s="10">
        <f t="shared" si="148"/>
        <v>15120</v>
      </c>
      <c r="N337" s="10">
        <f t="shared" si="149"/>
        <v>14343</v>
      </c>
      <c r="O337" s="10">
        <f t="shared" si="150"/>
        <v>0</v>
      </c>
      <c r="P337" s="10">
        <f t="shared" si="151"/>
        <v>11625</v>
      </c>
      <c r="Q337" s="10">
        <f t="shared" si="152"/>
        <v>14717</v>
      </c>
      <c r="R337" s="10">
        <f t="shared" si="153"/>
        <v>14717</v>
      </c>
    </row>
    <row r="338" spans="1:18" x14ac:dyDescent="0.2">
      <c r="A338" s="8">
        <v>11730</v>
      </c>
      <c r="B338" s="77" t="str">
        <f t="shared" si="137"/>
        <v>Clarence Valley</v>
      </c>
      <c r="C338" s="9" t="str">
        <f t="shared" si="138"/>
        <v>NEWF</v>
      </c>
      <c r="D338" s="45" t="str">
        <f t="shared" si="139"/>
        <v>R</v>
      </c>
      <c r="E338" s="10">
        <f t="shared" si="140"/>
        <v>0</v>
      </c>
      <c r="F338" s="10">
        <f t="shared" si="141"/>
        <v>55323</v>
      </c>
      <c r="G338" s="10">
        <f t="shared" si="142"/>
        <v>27381</v>
      </c>
      <c r="H338" s="10">
        <f t="shared" si="143"/>
        <v>2.0204886600197218</v>
      </c>
      <c r="I338" s="10">
        <f t="shared" si="144"/>
        <v>10428.700000000001</v>
      </c>
      <c r="J338" s="10">
        <f t="shared" si="145"/>
        <v>5.3</v>
      </c>
      <c r="K338" s="10">
        <f t="shared" si="146"/>
        <v>375</v>
      </c>
      <c r="L338" s="10">
        <f t="shared" si="147"/>
        <v>0</v>
      </c>
      <c r="M338" s="10">
        <f t="shared" si="148"/>
        <v>23311</v>
      </c>
      <c r="N338" s="10">
        <f t="shared" si="149"/>
        <v>22895</v>
      </c>
      <c r="O338" s="10">
        <f t="shared" si="150"/>
        <v>0</v>
      </c>
      <c r="P338" s="10">
        <f t="shared" si="151"/>
        <v>18646</v>
      </c>
      <c r="Q338" s="10">
        <f t="shared" si="152"/>
        <v>0</v>
      </c>
      <c r="R338" s="10">
        <f t="shared" si="153"/>
        <v>27381</v>
      </c>
    </row>
    <row r="339" spans="1:18" x14ac:dyDescent="0.2">
      <c r="A339" s="8">
        <v>14550</v>
      </c>
      <c r="B339" s="77" t="str">
        <f t="shared" si="137"/>
        <v>Kyogle</v>
      </c>
      <c r="C339" s="9" t="str">
        <f t="shared" si="138"/>
        <v>NEWF</v>
      </c>
      <c r="D339" s="45" t="str">
        <f t="shared" si="139"/>
        <v>R</v>
      </c>
      <c r="E339" s="10" t="str">
        <f t="shared" si="140"/>
        <v>NRJO</v>
      </c>
      <c r="F339" s="10">
        <f t="shared" si="141"/>
        <v>9468</v>
      </c>
      <c r="G339" s="10">
        <f t="shared" si="142"/>
        <v>6094</v>
      </c>
      <c r="H339" s="10">
        <f t="shared" si="143"/>
        <v>1.5536593370528389</v>
      </c>
      <c r="I339" s="10">
        <f t="shared" si="144"/>
        <v>3584.2</v>
      </c>
      <c r="J339" s="10">
        <f t="shared" si="145"/>
        <v>2.6</v>
      </c>
      <c r="K339" s="10">
        <f t="shared" si="146"/>
        <v>482</v>
      </c>
      <c r="L339" s="10">
        <f t="shared" si="147"/>
        <v>0</v>
      </c>
      <c r="M339" s="10">
        <f t="shared" si="148"/>
        <v>2096</v>
      </c>
      <c r="N339" s="10">
        <f t="shared" si="149"/>
        <v>2096</v>
      </c>
      <c r="O339" s="10">
        <f t="shared" si="150"/>
        <v>0</v>
      </c>
      <c r="P339" s="10">
        <f t="shared" si="151"/>
        <v>0</v>
      </c>
      <c r="Q339" s="10">
        <f t="shared" si="152"/>
        <v>0</v>
      </c>
      <c r="R339" s="10">
        <f t="shared" si="153"/>
        <v>6094</v>
      </c>
    </row>
    <row r="340" spans="1:18" x14ac:dyDescent="0.2">
      <c r="A340" s="8">
        <v>14850</v>
      </c>
      <c r="B340" s="77" t="str">
        <f t="shared" si="137"/>
        <v>Lismore</v>
      </c>
      <c r="C340" s="9" t="str">
        <f t="shared" si="138"/>
        <v>NEWF</v>
      </c>
      <c r="D340" s="45" t="str">
        <f t="shared" si="139"/>
        <v>R</v>
      </c>
      <c r="E340" s="10" t="str">
        <f t="shared" si="140"/>
        <v>NRJO</v>
      </c>
      <c r="F340" s="10">
        <f t="shared" si="141"/>
        <v>43907</v>
      </c>
      <c r="G340" s="10">
        <f t="shared" si="142"/>
        <v>18475</v>
      </c>
      <c r="H340" s="10">
        <f t="shared" si="143"/>
        <v>2.3765629228687417</v>
      </c>
      <c r="I340" s="10">
        <f t="shared" si="144"/>
        <v>1287.7</v>
      </c>
      <c r="J340" s="10">
        <f t="shared" si="145"/>
        <v>34.1</v>
      </c>
      <c r="K340" s="10">
        <f t="shared" si="146"/>
        <v>327.3</v>
      </c>
      <c r="L340" s="10">
        <f t="shared" si="147"/>
        <v>0</v>
      </c>
      <c r="M340" s="10">
        <f t="shared" si="148"/>
        <v>14325</v>
      </c>
      <c r="N340" s="10">
        <f t="shared" si="149"/>
        <v>15662</v>
      </c>
      <c r="O340" s="10">
        <f t="shared" si="150"/>
        <v>0</v>
      </c>
      <c r="P340" s="10">
        <f t="shared" si="151"/>
        <v>13014</v>
      </c>
      <c r="Q340" s="10">
        <f t="shared" si="152"/>
        <v>0</v>
      </c>
      <c r="R340" s="10">
        <f t="shared" si="153"/>
        <v>18475</v>
      </c>
    </row>
    <row r="341" spans="1:18" x14ac:dyDescent="0.2">
      <c r="A341" s="8">
        <v>16610</v>
      </c>
      <c r="B341" s="77" t="str">
        <f t="shared" si="137"/>
        <v>Richmond Valley</v>
      </c>
      <c r="C341" s="9" t="str">
        <f t="shared" si="138"/>
        <v>NEWF</v>
      </c>
      <c r="D341" s="45" t="str">
        <f t="shared" si="139"/>
        <v>R</v>
      </c>
      <c r="E341" s="10" t="str">
        <f t="shared" si="140"/>
        <v>NRJO</v>
      </c>
      <c r="F341" s="10">
        <f t="shared" si="141"/>
        <v>23705</v>
      </c>
      <c r="G341" s="10">
        <f t="shared" si="142"/>
        <v>10828</v>
      </c>
      <c r="H341" s="10">
        <f t="shared" si="143"/>
        <v>2.1892316217214627</v>
      </c>
      <c r="I341" s="10">
        <f t="shared" si="144"/>
        <v>3047.4</v>
      </c>
      <c r="J341" s="10">
        <f t="shared" si="145"/>
        <v>7.8</v>
      </c>
      <c r="K341" s="10">
        <f t="shared" si="146"/>
        <v>650</v>
      </c>
      <c r="L341" s="10">
        <f t="shared" si="147"/>
        <v>0</v>
      </c>
      <c r="M341" s="10">
        <f t="shared" si="148"/>
        <v>7700</v>
      </c>
      <c r="N341" s="10">
        <f t="shared" si="149"/>
        <v>7884</v>
      </c>
      <c r="O341" s="10">
        <f t="shared" si="150"/>
        <v>0</v>
      </c>
      <c r="P341" s="10">
        <f t="shared" si="151"/>
        <v>7729</v>
      </c>
      <c r="Q341" s="10">
        <f t="shared" si="152"/>
        <v>0</v>
      </c>
      <c r="R341" s="10">
        <f t="shared" si="153"/>
        <v>10828</v>
      </c>
    </row>
    <row r="342" spans="1:18" ht="13.5" thickBot="1" x14ac:dyDescent="0.25">
      <c r="A342" s="8">
        <v>17550</v>
      </c>
      <c r="B342" s="77" t="str">
        <f t="shared" si="137"/>
        <v>Tweed</v>
      </c>
      <c r="C342" s="9" t="str">
        <f t="shared" si="138"/>
        <v>NEWF</v>
      </c>
      <c r="D342" s="45" t="str">
        <f t="shared" si="139"/>
        <v>R</v>
      </c>
      <c r="E342" s="10" t="str">
        <f t="shared" si="140"/>
        <v>NRJO</v>
      </c>
      <c r="F342" s="10">
        <f t="shared" si="141"/>
        <v>98967</v>
      </c>
      <c r="G342" s="10">
        <f t="shared" si="142"/>
        <v>49371</v>
      </c>
      <c r="H342" s="10">
        <f t="shared" si="143"/>
        <v>2.0045573312268337</v>
      </c>
      <c r="I342" s="10">
        <f t="shared" si="144"/>
        <v>1307.8</v>
      </c>
      <c r="J342" s="10">
        <f t="shared" si="145"/>
        <v>75.7</v>
      </c>
      <c r="K342" s="10">
        <f t="shared" si="146"/>
        <v>478</v>
      </c>
      <c r="L342" s="10">
        <f t="shared" si="147"/>
        <v>0</v>
      </c>
      <c r="M342" s="10">
        <f t="shared" si="148"/>
        <v>200</v>
      </c>
      <c r="N342" s="10">
        <f t="shared" si="149"/>
        <v>39200</v>
      </c>
      <c r="O342" s="10">
        <f t="shared" si="150"/>
        <v>0</v>
      </c>
      <c r="P342" s="10">
        <f t="shared" si="151"/>
        <v>26683</v>
      </c>
      <c r="Q342" s="10">
        <f t="shared" si="152"/>
        <v>49371</v>
      </c>
      <c r="R342" s="10">
        <f t="shared" si="153"/>
        <v>49371</v>
      </c>
    </row>
    <row r="343" spans="1:18" ht="13.5" thickTop="1" x14ac:dyDescent="0.2">
      <c r="A343" s="11"/>
      <c r="B343" s="11"/>
      <c r="C343" s="11" t="s">
        <v>26</v>
      </c>
      <c r="D343" s="11"/>
      <c r="E343" s="12"/>
      <c r="F343" s="13">
        <f t="shared" ref="F343:R343" si="154">COUNTIF(F336:F342,"&gt;0")</f>
        <v>7</v>
      </c>
      <c r="G343" s="13">
        <f t="shared" si="154"/>
        <v>7</v>
      </c>
      <c r="H343" s="13">
        <f t="shared" si="154"/>
        <v>7</v>
      </c>
      <c r="I343" s="13">
        <f t="shared" si="154"/>
        <v>7</v>
      </c>
      <c r="J343" s="13">
        <f t="shared" si="154"/>
        <v>7</v>
      </c>
      <c r="K343" s="13">
        <f t="shared" si="154"/>
        <v>7</v>
      </c>
      <c r="L343" s="13">
        <f t="shared" si="154"/>
        <v>0</v>
      </c>
      <c r="M343" s="13">
        <f t="shared" si="154"/>
        <v>7</v>
      </c>
      <c r="N343" s="13">
        <f t="shared" si="154"/>
        <v>7</v>
      </c>
      <c r="O343" s="13">
        <f t="shared" si="154"/>
        <v>0</v>
      </c>
      <c r="P343" s="13">
        <f t="shared" si="154"/>
        <v>6</v>
      </c>
      <c r="Q343" s="13">
        <f t="shared" si="154"/>
        <v>2</v>
      </c>
      <c r="R343" s="13">
        <f t="shared" si="154"/>
        <v>7</v>
      </c>
    </row>
    <row r="344" spans="1:18" x14ac:dyDescent="0.2">
      <c r="A344" s="8"/>
      <c r="B344" s="8"/>
      <c r="C344" s="8" t="s">
        <v>27</v>
      </c>
      <c r="D344" s="8"/>
      <c r="E344" s="69"/>
      <c r="F344" s="15">
        <f>SUM(F336:F342)</f>
        <v>315775</v>
      </c>
      <c r="G344" s="15">
        <f>SUM(G336:G342)</f>
        <v>147852</v>
      </c>
      <c r="H344" s="93">
        <f>F344/G344</f>
        <v>2.1357506154803452</v>
      </c>
      <c r="I344" s="15">
        <f t="shared" ref="I344:R344" si="155">SUM(I336:I342)</f>
        <v>20706.600000000002</v>
      </c>
      <c r="J344" s="15">
        <f t="shared" si="155"/>
        <v>288.60000000000002</v>
      </c>
      <c r="K344" s="15">
        <f t="shared" si="155"/>
        <v>3282.3</v>
      </c>
      <c r="L344" s="15">
        <f t="shared" si="155"/>
        <v>0</v>
      </c>
      <c r="M344" s="15">
        <f t="shared" si="155"/>
        <v>80575</v>
      </c>
      <c r="N344" s="15">
        <f t="shared" si="155"/>
        <v>118982</v>
      </c>
      <c r="O344" s="15">
        <f t="shared" si="155"/>
        <v>0</v>
      </c>
      <c r="P344" s="15">
        <f t="shared" si="155"/>
        <v>92092</v>
      </c>
      <c r="Q344" s="15">
        <f t="shared" si="155"/>
        <v>64088</v>
      </c>
      <c r="R344" s="15">
        <f t="shared" si="155"/>
        <v>147852</v>
      </c>
    </row>
    <row r="345" spans="1:18" x14ac:dyDescent="0.2">
      <c r="A345" s="8"/>
      <c r="B345" s="8"/>
      <c r="C345" s="8" t="s">
        <v>28</v>
      </c>
      <c r="D345" s="8"/>
      <c r="E345" s="69"/>
      <c r="F345" s="10">
        <f t="shared" ref="F345:R345" si="156">MIN(F336:F342)</f>
        <v>9468</v>
      </c>
      <c r="G345" s="10">
        <f t="shared" si="156"/>
        <v>6094</v>
      </c>
      <c r="H345" s="10">
        <f t="shared" si="156"/>
        <v>1.5536593370528389</v>
      </c>
      <c r="I345" s="10">
        <f t="shared" si="156"/>
        <v>485</v>
      </c>
      <c r="J345" s="10">
        <f t="shared" si="156"/>
        <v>2.6</v>
      </c>
      <c r="K345" s="10">
        <f t="shared" si="156"/>
        <v>327.3</v>
      </c>
      <c r="L345" s="10">
        <f t="shared" si="156"/>
        <v>0</v>
      </c>
      <c r="M345" s="10">
        <f t="shared" si="156"/>
        <v>200</v>
      </c>
      <c r="N345" s="10">
        <f t="shared" si="156"/>
        <v>2096</v>
      </c>
      <c r="O345" s="10">
        <f t="shared" si="156"/>
        <v>0</v>
      </c>
      <c r="P345" s="10">
        <f t="shared" si="156"/>
        <v>0</v>
      </c>
      <c r="Q345" s="10">
        <f t="shared" si="156"/>
        <v>0</v>
      </c>
      <c r="R345" s="10">
        <f t="shared" si="156"/>
        <v>6094</v>
      </c>
    </row>
    <row r="346" spans="1:18" x14ac:dyDescent="0.2">
      <c r="A346" s="8"/>
      <c r="B346" s="8"/>
      <c r="C346" s="8" t="s">
        <v>29</v>
      </c>
      <c r="D346" s="8"/>
      <c r="E346" s="69"/>
      <c r="F346" s="10">
        <f t="shared" ref="F346:R346" si="157">MAX(F336:F342)</f>
        <v>98967</v>
      </c>
      <c r="G346" s="10">
        <f t="shared" si="157"/>
        <v>49371</v>
      </c>
      <c r="H346" s="10">
        <f t="shared" si="157"/>
        <v>2.5226608683835021</v>
      </c>
      <c r="I346" s="10">
        <f t="shared" si="157"/>
        <v>10428.700000000001</v>
      </c>
      <c r="J346" s="10">
        <f t="shared" si="157"/>
        <v>97.5</v>
      </c>
      <c r="K346" s="10">
        <f t="shared" si="157"/>
        <v>650</v>
      </c>
      <c r="L346" s="10">
        <f t="shared" si="157"/>
        <v>0</v>
      </c>
      <c r="M346" s="10">
        <f t="shared" si="157"/>
        <v>23311</v>
      </c>
      <c r="N346" s="10">
        <f t="shared" si="157"/>
        <v>39200</v>
      </c>
      <c r="O346" s="10">
        <f t="shared" si="157"/>
        <v>0</v>
      </c>
      <c r="P346" s="10">
        <f t="shared" si="157"/>
        <v>26683</v>
      </c>
      <c r="Q346" s="10">
        <f t="shared" si="157"/>
        <v>49371</v>
      </c>
      <c r="R346" s="10">
        <f t="shared" si="157"/>
        <v>49371</v>
      </c>
    </row>
    <row r="347" spans="1:18" x14ac:dyDescent="0.2">
      <c r="A347" s="8"/>
      <c r="B347" s="8"/>
      <c r="C347" s="8" t="s">
        <v>30</v>
      </c>
      <c r="D347" s="8"/>
      <c r="E347" s="69"/>
      <c r="F347" s="10">
        <f t="shared" ref="F347:R347" si="158">AVERAGE(F336:F342)</f>
        <v>45110.714285714283</v>
      </c>
      <c r="G347" s="10">
        <f t="shared" si="158"/>
        <v>21121.714285714286</v>
      </c>
      <c r="H347" s="10">
        <f t="shared" si="158"/>
        <v>2.1314348022243217</v>
      </c>
      <c r="I347" s="10">
        <f t="shared" si="158"/>
        <v>2958.0857142857144</v>
      </c>
      <c r="J347" s="10">
        <f t="shared" si="158"/>
        <v>41.228571428571435</v>
      </c>
      <c r="K347" s="10">
        <f t="shared" si="158"/>
        <v>468.90000000000003</v>
      </c>
      <c r="L347" s="10">
        <f t="shared" si="158"/>
        <v>0</v>
      </c>
      <c r="M347" s="10">
        <f t="shared" si="158"/>
        <v>11510.714285714286</v>
      </c>
      <c r="N347" s="10">
        <f t="shared" si="158"/>
        <v>16997.428571428572</v>
      </c>
      <c r="O347" s="10">
        <f t="shared" si="158"/>
        <v>0</v>
      </c>
      <c r="P347" s="10">
        <f t="shared" si="158"/>
        <v>13156</v>
      </c>
      <c r="Q347" s="10">
        <f t="shared" si="158"/>
        <v>9155.4285714285706</v>
      </c>
      <c r="R347" s="10">
        <f t="shared" si="158"/>
        <v>21121.714285714286</v>
      </c>
    </row>
    <row r="348" spans="1:18" ht="13.5" thickBot="1" x14ac:dyDescent="0.25">
      <c r="A348" s="16"/>
      <c r="B348" s="16"/>
      <c r="C348" s="16" t="s">
        <v>31</v>
      </c>
      <c r="D348" s="16"/>
      <c r="E348" s="69"/>
      <c r="F348" s="18">
        <f t="shared" ref="F348:R348" si="159">MEDIAN(F336:F342)</f>
        <v>43907</v>
      </c>
      <c r="G348" s="18">
        <f t="shared" si="159"/>
        <v>18475</v>
      </c>
      <c r="H348" s="18">
        <f t="shared" si="159"/>
        <v>2.1892316217214627</v>
      </c>
      <c r="I348" s="18">
        <f t="shared" si="159"/>
        <v>1307.8</v>
      </c>
      <c r="J348" s="18">
        <f t="shared" si="159"/>
        <v>34.1</v>
      </c>
      <c r="K348" s="18">
        <f t="shared" si="159"/>
        <v>478</v>
      </c>
      <c r="L348" s="18">
        <f t="shared" si="159"/>
        <v>0</v>
      </c>
      <c r="M348" s="18">
        <f t="shared" si="159"/>
        <v>14325</v>
      </c>
      <c r="N348" s="18">
        <f t="shared" si="159"/>
        <v>15662</v>
      </c>
      <c r="O348" s="18">
        <f t="shared" si="159"/>
        <v>0</v>
      </c>
      <c r="P348" s="18">
        <f t="shared" si="159"/>
        <v>13014</v>
      </c>
      <c r="Q348" s="18">
        <f t="shared" si="159"/>
        <v>0</v>
      </c>
      <c r="R348" s="18">
        <f t="shared" si="159"/>
        <v>18475</v>
      </c>
    </row>
    <row r="349" spans="1:18" ht="13.5" thickTop="1" x14ac:dyDescent="0.2"/>
    <row r="350" spans="1:18" ht="13.5" thickBot="1" x14ac:dyDescent="0.25">
      <c r="A350" s="25"/>
      <c r="B350" s="25"/>
      <c r="C350" s="27" t="s">
        <v>16</v>
      </c>
      <c r="D350" s="27"/>
    </row>
    <row r="351" spans="1:18" ht="13.5" thickTop="1" x14ac:dyDescent="0.2">
      <c r="A351" s="8">
        <v>10180</v>
      </c>
      <c r="B351" s="77" t="str">
        <f t="shared" ref="B351:B362" si="160">VLOOKUP($A351,$A$5:$K$132,2,FALSE)</f>
        <v>Armidale Regional</v>
      </c>
      <c r="C351" s="9" t="str">
        <f t="shared" ref="C351:C362" si="161">VLOOKUP($A351,$A$5:$K$133,3,FALSE)</f>
        <v>NIRW</v>
      </c>
      <c r="D351" s="45" t="str">
        <f t="shared" ref="D351:D362" si="162">VLOOKUP($A351,$A$5:$K$133,4,FALSE)</f>
        <v>N</v>
      </c>
      <c r="E351" s="10" t="str">
        <f t="shared" ref="E351:E362" si="163">VLOOKUP($A351,$A$5:$R$132,5,FALSE)</f>
        <v>NEJO</v>
      </c>
      <c r="F351" s="10">
        <f t="shared" ref="F351:F362" si="164">VLOOKUP($A351,$A$5:$R$132,6,FALSE)</f>
        <v>29594</v>
      </c>
      <c r="G351" s="10">
        <f t="shared" ref="G351:G362" si="165">VLOOKUP($A351,$A$5:$R$132,7,FALSE)</f>
        <v>13068</v>
      </c>
      <c r="H351" s="10">
        <f t="shared" ref="H351:H362" si="166">VLOOKUP($A351,$A$5:$R$132,8,FALSE)</f>
        <v>2.2646158555249465</v>
      </c>
      <c r="I351" s="10">
        <f t="shared" ref="I351:I362" si="167">VLOOKUP($A351,$A$5:$R$132,9,FALSE)</f>
        <v>7809.4</v>
      </c>
      <c r="J351" s="10">
        <f t="shared" ref="J351:J362" si="168">VLOOKUP($A351,$A$5:$R$132,10,FALSE)</f>
        <v>3.8</v>
      </c>
      <c r="K351" s="10">
        <f t="shared" ref="K351:K362" si="169">VLOOKUP($A351,$A$5:$R$132,11,FALSE)</f>
        <v>467</v>
      </c>
      <c r="L351" s="10">
        <f t="shared" ref="L351:L362" si="170">VLOOKUP($A351,$A$4:$R$132,12,FALSE)</f>
        <v>0</v>
      </c>
      <c r="M351" s="10">
        <f t="shared" ref="M351:M362" si="171">VLOOKUP($A351,$A$4:$R$132,13,FALSE)</f>
        <v>10553</v>
      </c>
      <c r="N351" s="10">
        <f t="shared" ref="N351:N362" si="172">VLOOKUP($A351,$A$4:$R$132,14,FALSE)</f>
        <v>10228</v>
      </c>
      <c r="O351" s="10">
        <f t="shared" ref="O351:O362" si="173">VLOOKUP($A351,$A$4:$R$132,15,FALSE)</f>
        <v>0</v>
      </c>
      <c r="P351" s="10">
        <f t="shared" ref="P351:P362" si="174">VLOOKUP($A351,$A$4:$R$132,16,FALSE)</f>
        <v>10228</v>
      </c>
      <c r="Q351" s="10">
        <f t="shared" ref="Q351:Q362" si="175">VLOOKUP($A351,$A$4:$R$132,17,FALSE)</f>
        <v>0</v>
      </c>
      <c r="R351" s="10">
        <f t="shared" ref="R351:R362" si="176">VLOOKUP($A351,$A$4:$R$132,18,FALSE)</f>
        <v>13068</v>
      </c>
    </row>
    <row r="352" spans="1:18" x14ac:dyDescent="0.2">
      <c r="A352" s="8">
        <v>13010</v>
      </c>
      <c r="B352" s="77" t="str">
        <f t="shared" si="160"/>
        <v>Glen Innes Severn</v>
      </c>
      <c r="C352" s="9" t="str">
        <f t="shared" si="161"/>
        <v>NIRW</v>
      </c>
      <c r="D352" s="45" t="str">
        <f t="shared" si="162"/>
        <v>N</v>
      </c>
      <c r="E352" s="10" t="str">
        <f t="shared" si="163"/>
        <v>NEJO</v>
      </c>
      <c r="F352" s="10">
        <f t="shared" si="164"/>
        <v>8989</v>
      </c>
      <c r="G352" s="10">
        <f t="shared" si="165"/>
        <v>5391</v>
      </c>
      <c r="H352" s="10">
        <f t="shared" si="166"/>
        <v>1.6674086440363569</v>
      </c>
      <c r="I352" s="10">
        <f t="shared" si="167"/>
        <v>5480</v>
      </c>
      <c r="J352" s="10">
        <f t="shared" si="168"/>
        <v>1.6</v>
      </c>
      <c r="K352" s="10">
        <f t="shared" si="169"/>
        <v>360</v>
      </c>
      <c r="L352" s="10">
        <f t="shared" si="170"/>
        <v>0</v>
      </c>
      <c r="M352" s="10">
        <f t="shared" si="171"/>
        <v>3905</v>
      </c>
      <c r="N352" s="10">
        <f t="shared" si="172"/>
        <v>3905</v>
      </c>
      <c r="O352" s="10">
        <f t="shared" si="173"/>
        <v>0</v>
      </c>
      <c r="P352" s="10">
        <f t="shared" si="174"/>
        <v>0</v>
      </c>
      <c r="Q352" s="10">
        <f t="shared" si="175"/>
        <v>0</v>
      </c>
      <c r="R352" s="10">
        <f t="shared" si="176"/>
        <v>5391</v>
      </c>
    </row>
    <row r="353" spans="1:18" x14ac:dyDescent="0.2">
      <c r="A353" s="8">
        <v>13550</v>
      </c>
      <c r="B353" s="77" t="str">
        <f t="shared" si="160"/>
        <v>Gunnedah</v>
      </c>
      <c r="C353" s="9" t="str">
        <f t="shared" si="161"/>
        <v>NIRW</v>
      </c>
      <c r="D353" s="45" t="str">
        <f t="shared" si="162"/>
        <v>N</v>
      </c>
      <c r="E353" s="10" t="str">
        <f t="shared" si="163"/>
        <v>NJO</v>
      </c>
      <c r="F353" s="10">
        <f t="shared" si="164"/>
        <v>13280</v>
      </c>
      <c r="G353" s="10">
        <f t="shared" si="165"/>
        <v>5467</v>
      </c>
      <c r="H353" s="10">
        <f t="shared" si="166"/>
        <v>2.4291201755990488</v>
      </c>
      <c r="I353" s="10">
        <f t="shared" si="167"/>
        <v>4987</v>
      </c>
      <c r="J353" s="10">
        <f t="shared" si="168"/>
        <v>2.7</v>
      </c>
      <c r="K353" s="10">
        <f t="shared" si="169"/>
        <v>440</v>
      </c>
      <c r="L353" s="10">
        <f t="shared" si="170"/>
        <v>0</v>
      </c>
      <c r="M353" s="10">
        <f t="shared" si="171"/>
        <v>5084</v>
      </c>
      <c r="N353" s="10">
        <f t="shared" si="172"/>
        <v>4966</v>
      </c>
      <c r="O353" s="10">
        <f t="shared" si="173"/>
        <v>3545</v>
      </c>
      <c r="P353" s="10">
        <f t="shared" si="174"/>
        <v>0</v>
      </c>
      <c r="Q353" s="10">
        <f t="shared" si="175"/>
        <v>0</v>
      </c>
      <c r="R353" s="10">
        <f t="shared" si="176"/>
        <v>5467</v>
      </c>
    </row>
    <row r="354" spans="1:18" x14ac:dyDescent="0.2">
      <c r="A354" s="8">
        <v>13660</v>
      </c>
      <c r="B354" s="77" t="str">
        <f t="shared" si="160"/>
        <v>Gwydir</v>
      </c>
      <c r="C354" s="9" t="str">
        <f t="shared" si="161"/>
        <v>NIRW</v>
      </c>
      <c r="D354" s="45" t="str">
        <f t="shared" si="162"/>
        <v>N</v>
      </c>
      <c r="E354" s="10" t="str">
        <f t="shared" si="163"/>
        <v>NJO</v>
      </c>
      <c r="F354" s="10">
        <f t="shared" si="164"/>
        <v>4940</v>
      </c>
      <c r="G354" s="10">
        <f t="shared" si="165"/>
        <v>3302</v>
      </c>
      <c r="H354" s="10">
        <f t="shared" si="166"/>
        <v>1.4960629921259843</v>
      </c>
      <c r="I354" s="10">
        <f t="shared" si="167"/>
        <v>9259.7000000000007</v>
      </c>
      <c r="J354" s="10">
        <f t="shared" si="168"/>
        <v>0.5</v>
      </c>
      <c r="K354" s="10">
        <f t="shared" si="169"/>
        <v>380</v>
      </c>
      <c r="L354" s="10">
        <f t="shared" si="170"/>
        <v>0</v>
      </c>
      <c r="M354" s="10">
        <f t="shared" si="171"/>
        <v>1360</v>
      </c>
      <c r="N354" s="10">
        <f t="shared" si="172"/>
        <v>1360</v>
      </c>
      <c r="O354" s="10">
        <f t="shared" si="173"/>
        <v>0</v>
      </c>
      <c r="P354" s="10">
        <f t="shared" si="174"/>
        <v>1360</v>
      </c>
      <c r="Q354" s="10">
        <f t="shared" si="175"/>
        <v>0</v>
      </c>
      <c r="R354" s="10">
        <f t="shared" si="176"/>
        <v>3302</v>
      </c>
    </row>
    <row r="355" spans="1:18" x14ac:dyDescent="0.2">
      <c r="A355" s="8">
        <v>14220</v>
      </c>
      <c r="B355" s="77" t="str">
        <f t="shared" si="160"/>
        <v>Inverell</v>
      </c>
      <c r="C355" s="9" t="str">
        <f t="shared" si="161"/>
        <v>NIRW</v>
      </c>
      <c r="D355" s="45" t="str">
        <f t="shared" si="162"/>
        <v>N</v>
      </c>
      <c r="E355" s="10" t="str">
        <f t="shared" si="163"/>
        <v>NEJO</v>
      </c>
      <c r="F355" s="10">
        <f t="shared" si="164"/>
        <v>18059</v>
      </c>
      <c r="G355" s="10">
        <f t="shared" si="165"/>
        <v>8908</v>
      </c>
      <c r="H355" s="10">
        <f t="shared" si="166"/>
        <v>2.0272788504714865</v>
      </c>
      <c r="I355" s="10">
        <f t="shared" si="167"/>
        <v>9404.7999999999993</v>
      </c>
      <c r="J355" s="10">
        <f t="shared" si="168"/>
        <v>1.9</v>
      </c>
      <c r="K355" s="10">
        <f t="shared" si="169"/>
        <v>398</v>
      </c>
      <c r="L355" s="10">
        <f t="shared" si="170"/>
        <v>0</v>
      </c>
      <c r="M355" s="10">
        <f t="shared" si="171"/>
        <v>6987</v>
      </c>
      <c r="N355" s="10">
        <f t="shared" si="172"/>
        <v>6987</v>
      </c>
      <c r="O355" s="10">
        <f t="shared" si="173"/>
        <v>0</v>
      </c>
      <c r="P355" s="10">
        <f t="shared" si="174"/>
        <v>0</v>
      </c>
      <c r="Q355" s="10">
        <f t="shared" si="175"/>
        <v>8908</v>
      </c>
      <c r="R355" s="10">
        <f t="shared" si="176"/>
        <v>8908</v>
      </c>
    </row>
    <row r="356" spans="1:18" x14ac:dyDescent="0.2">
      <c r="A356" s="8">
        <v>14920</v>
      </c>
      <c r="B356" s="77" t="str">
        <f t="shared" si="160"/>
        <v>Liverpool Plains</v>
      </c>
      <c r="C356" s="9" t="str">
        <f t="shared" si="161"/>
        <v>NIRW</v>
      </c>
      <c r="D356" s="45" t="str">
        <f t="shared" si="162"/>
        <v>N</v>
      </c>
      <c r="E356" s="10" t="str">
        <f t="shared" si="163"/>
        <v>NJO</v>
      </c>
      <c r="F356" s="10">
        <f t="shared" si="164"/>
        <v>7667</v>
      </c>
      <c r="G356" s="10">
        <f t="shared" si="165"/>
        <v>3929</v>
      </c>
      <c r="H356" s="10">
        <f t="shared" si="166"/>
        <v>1.9513871214049376</v>
      </c>
      <c r="I356" s="10">
        <f t="shared" si="167"/>
        <v>5082.2</v>
      </c>
      <c r="J356" s="10">
        <f t="shared" si="168"/>
        <v>1.5</v>
      </c>
      <c r="K356" s="10">
        <f t="shared" si="169"/>
        <v>453</v>
      </c>
      <c r="L356" s="10">
        <f t="shared" si="170"/>
        <v>0</v>
      </c>
      <c r="M356" s="10">
        <f t="shared" si="171"/>
        <v>1700</v>
      </c>
      <c r="N356" s="10">
        <f t="shared" si="172"/>
        <v>1700</v>
      </c>
      <c r="O356" s="10">
        <f t="shared" si="173"/>
        <v>0</v>
      </c>
      <c r="P356" s="10">
        <f t="shared" si="174"/>
        <v>0</v>
      </c>
      <c r="Q356" s="10">
        <f t="shared" si="175"/>
        <v>3929</v>
      </c>
      <c r="R356" s="10">
        <f t="shared" si="176"/>
        <v>3929</v>
      </c>
    </row>
    <row r="357" spans="1:18" x14ac:dyDescent="0.2">
      <c r="A357" s="8">
        <v>15300</v>
      </c>
      <c r="B357" s="77" t="str">
        <f t="shared" si="160"/>
        <v>Moree Plains</v>
      </c>
      <c r="C357" s="9" t="str">
        <f t="shared" si="161"/>
        <v>NIRW</v>
      </c>
      <c r="D357" s="45" t="str">
        <f t="shared" si="162"/>
        <v>N</v>
      </c>
      <c r="E357" s="10" t="str">
        <f t="shared" si="163"/>
        <v>NEJO</v>
      </c>
      <c r="F357" s="10">
        <f t="shared" si="164"/>
        <v>12873</v>
      </c>
      <c r="G357" s="10">
        <f t="shared" si="165"/>
        <v>6359</v>
      </c>
      <c r="H357" s="10">
        <f t="shared" si="166"/>
        <v>2.0243749017141059</v>
      </c>
      <c r="I357" s="10">
        <f t="shared" si="167"/>
        <v>17902.7</v>
      </c>
      <c r="J357" s="10">
        <f t="shared" si="168"/>
        <v>0.7</v>
      </c>
      <c r="K357" s="10">
        <f t="shared" si="169"/>
        <v>381.65</v>
      </c>
      <c r="L357" s="10">
        <f t="shared" si="170"/>
        <v>0</v>
      </c>
      <c r="M357" s="10">
        <f t="shared" si="171"/>
        <v>4577</v>
      </c>
      <c r="N357" s="10">
        <f t="shared" si="172"/>
        <v>4638</v>
      </c>
      <c r="O357" s="10">
        <f t="shared" si="173"/>
        <v>0</v>
      </c>
      <c r="P357" s="10">
        <f t="shared" si="174"/>
        <v>4577</v>
      </c>
      <c r="Q357" s="10">
        <f t="shared" si="175"/>
        <v>6359</v>
      </c>
      <c r="R357" s="10">
        <f t="shared" si="176"/>
        <v>6359</v>
      </c>
    </row>
    <row r="358" spans="1:18" x14ac:dyDescent="0.2">
      <c r="A358" s="8">
        <v>15750</v>
      </c>
      <c r="B358" s="77" t="str">
        <f t="shared" si="160"/>
        <v>Narrabri</v>
      </c>
      <c r="C358" s="9" t="str">
        <f t="shared" si="161"/>
        <v>NIRW</v>
      </c>
      <c r="D358" s="45" t="str">
        <f t="shared" si="162"/>
        <v>N</v>
      </c>
      <c r="E358" s="10" t="str">
        <f t="shared" si="163"/>
        <v>NEJO</v>
      </c>
      <c r="F358" s="10">
        <f t="shared" si="164"/>
        <v>12754</v>
      </c>
      <c r="G358" s="10">
        <f t="shared" si="165"/>
        <v>6908</v>
      </c>
      <c r="H358" s="10">
        <f t="shared" si="166"/>
        <v>1.8462651997683845</v>
      </c>
      <c r="I358" s="10">
        <f t="shared" si="167"/>
        <v>13015</v>
      </c>
      <c r="J358" s="10">
        <f t="shared" si="168"/>
        <v>1</v>
      </c>
      <c r="K358" s="10">
        <f t="shared" si="169"/>
        <v>380</v>
      </c>
      <c r="L358" s="10">
        <f t="shared" si="170"/>
        <v>0</v>
      </c>
      <c r="M358" s="10">
        <f t="shared" si="171"/>
        <v>4394</v>
      </c>
      <c r="N358" s="10">
        <f t="shared" si="172"/>
        <v>4324</v>
      </c>
      <c r="O358" s="10">
        <f t="shared" si="173"/>
        <v>0</v>
      </c>
      <c r="P358" s="10">
        <f t="shared" si="174"/>
        <v>4324</v>
      </c>
      <c r="Q358" s="10">
        <f t="shared" si="175"/>
        <v>6908</v>
      </c>
      <c r="R358" s="10">
        <f t="shared" si="176"/>
        <v>6908</v>
      </c>
    </row>
    <row r="359" spans="1:18" x14ac:dyDescent="0.2">
      <c r="A359" s="8">
        <v>17310</v>
      </c>
      <c r="B359" s="77" t="str">
        <f t="shared" si="160"/>
        <v>Tamworth Regional</v>
      </c>
      <c r="C359" s="9" t="str">
        <f t="shared" si="161"/>
        <v>NIRW</v>
      </c>
      <c r="D359" s="45" t="str">
        <f t="shared" si="162"/>
        <v>N</v>
      </c>
      <c r="E359" s="10" t="str">
        <f t="shared" si="163"/>
        <v>NJO</v>
      </c>
      <c r="F359" s="10">
        <f t="shared" si="164"/>
        <v>65246</v>
      </c>
      <c r="G359" s="10">
        <f t="shared" si="165"/>
        <v>29072</v>
      </c>
      <c r="H359" s="10">
        <f t="shared" si="166"/>
        <v>2.2442900385250413</v>
      </c>
      <c r="I359" s="10">
        <f t="shared" si="167"/>
        <v>9884.4</v>
      </c>
      <c r="J359" s="10">
        <f t="shared" si="168"/>
        <v>6.6</v>
      </c>
      <c r="K359" s="10">
        <f t="shared" si="169"/>
        <v>407</v>
      </c>
      <c r="L359" s="10">
        <f t="shared" si="170"/>
        <v>0</v>
      </c>
      <c r="M359" s="10">
        <f t="shared" si="171"/>
        <v>25119</v>
      </c>
      <c r="N359" s="10">
        <f t="shared" si="172"/>
        <v>22029</v>
      </c>
      <c r="O359" s="10">
        <f t="shared" si="173"/>
        <v>22029</v>
      </c>
      <c r="P359" s="10">
        <f t="shared" si="174"/>
        <v>0</v>
      </c>
      <c r="Q359" s="10">
        <f t="shared" si="175"/>
        <v>29072</v>
      </c>
      <c r="R359" s="10">
        <f t="shared" si="176"/>
        <v>29072</v>
      </c>
    </row>
    <row r="360" spans="1:18" x14ac:dyDescent="0.2">
      <c r="A360" s="8">
        <v>17400</v>
      </c>
      <c r="B360" s="77" t="str">
        <f t="shared" si="160"/>
        <v>Tenterfield</v>
      </c>
      <c r="C360" s="9" t="str">
        <f t="shared" si="161"/>
        <v>NIRW</v>
      </c>
      <c r="D360" s="45" t="str">
        <f t="shared" si="162"/>
        <v>N</v>
      </c>
      <c r="E360" s="10" t="str">
        <f t="shared" si="163"/>
        <v>NEJO</v>
      </c>
      <c r="F360" s="10">
        <f t="shared" si="164"/>
        <v>6973</v>
      </c>
      <c r="G360" s="10">
        <f t="shared" si="165"/>
        <v>4938</v>
      </c>
      <c r="H360" s="10">
        <f t="shared" si="166"/>
        <v>1.4121101660591333</v>
      </c>
      <c r="I360" s="10">
        <f t="shared" si="167"/>
        <v>7324.3</v>
      </c>
      <c r="J360" s="10">
        <f t="shared" si="168"/>
        <v>1</v>
      </c>
      <c r="K360" s="10">
        <f t="shared" si="169"/>
        <v>621</v>
      </c>
      <c r="L360" s="10">
        <f t="shared" si="170"/>
        <v>0</v>
      </c>
      <c r="M360" s="10">
        <f t="shared" si="171"/>
        <v>2333</v>
      </c>
      <c r="N360" s="10">
        <f t="shared" si="172"/>
        <v>1742</v>
      </c>
      <c r="O360" s="10">
        <f t="shared" si="173"/>
        <v>0</v>
      </c>
      <c r="P360" s="10">
        <f t="shared" si="174"/>
        <v>0</v>
      </c>
      <c r="Q360" s="10">
        <f t="shared" si="175"/>
        <v>0</v>
      </c>
      <c r="R360" s="10">
        <f t="shared" si="176"/>
        <v>4938</v>
      </c>
    </row>
    <row r="361" spans="1:18" x14ac:dyDescent="0.2">
      <c r="A361" s="8">
        <v>17650</v>
      </c>
      <c r="B361" s="77" t="str">
        <f t="shared" si="160"/>
        <v>Uralla</v>
      </c>
      <c r="C361" s="9" t="str">
        <f t="shared" si="161"/>
        <v>NIRW</v>
      </c>
      <c r="D361" s="45" t="str">
        <f t="shared" si="162"/>
        <v>N</v>
      </c>
      <c r="E361" s="10" t="str">
        <f t="shared" si="163"/>
        <v>NEJO</v>
      </c>
      <c r="F361" s="10">
        <f t="shared" si="164"/>
        <v>6047</v>
      </c>
      <c r="G361" s="10">
        <f t="shared" si="165"/>
        <v>3198</v>
      </c>
      <c r="H361" s="10">
        <f t="shared" si="166"/>
        <v>1.8908692933083178</v>
      </c>
      <c r="I361" s="10">
        <f t="shared" si="167"/>
        <v>3226.5</v>
      </c>
      <c r="J361" s="10">
        <f t="shared" si="168"/>
        <v>1.9</v>
      </c>
      <c r="K361" s="10">
        <f t="shared" si="169"/>
        <v>414</v>
      </c>
      <c r="L361" s="10">
        <f t="shared" si="170"/>
        <v>0</v>
      </c>
      <c r="M361" s="10">
        <f t="shared" si="171"/>
        <v>2079</v>
      </c>
      <c r="N361" s="10">
        <f t="shared" si="172"/>
        <v>1985</v>
      </c>
      <c r="O361" s="10">
        <f t="shared" si="173"/>
        <v>146</v>
      </c>
      <c r="P361" s="10">
        <f t="shared" si="174"/>
        <v>0</v>
      </c>
      <c r="Q361" s="10">
        <f t="shared" si="175"/>
        <v>0</v>
      </c>
      <c r="R361" s="10">
        <f t="shared" si="176"/>
        <v>3198</v>
      </c>
    </row>
    <row r="362" spans="1:18" ht="13.5" thickBot="1" x14ac:dyDescent="0.25">
      <c r="A362" s="8">
        <v>17850</v>
      </c>
      <c r="B362" s="77" t="str">
        <f t="shared" si="160"/>
        <v>Walcha</v>
      </c>
      <c r="C362" s="9" t="str">
        <f t="shared" si="161"/>
        <v>NIRW</v>
      </c>
      <c r="D362" s="45" t="str">
        <f t="shared" si="162"/>
        <v>N</v>
      </c>
      <c r="E362" s="10" t="str">
        <f t="shared" si="163"/>
        <v>NJO</v>
      </c>
      <c r="F362" s="10">
        <f t="shared" si="164"/>
        <v>2968</v>
      </c>
      <c r="G362" s="10">
        <f t="shared" si="165"/>
        <v>1629</v>
      </c>
      <c r="H362" s="10">
        <f t="shared" si="166"/>
        <v>1.8219766728054021</v>
      </c>
      <c r="I362" s="10">
        <f t="shared" si="167"/>
        <v>6261</v>
      </c>
      <c r="J362" s="10">
        <f t="shared" si="168"/>
        <v>0.5</v>
      </c>
      <c r="K362" s="10">
        <f t="shared" si="169"/>
        <v>695</v>
      </c>
      <c r="L362" s="10">
        <f t="shared" si="170"/>
        <v>0</v>
      </c>
      <c r="M362" s="10">
        <f t="shared" si="171"/>
        <v>781</v>
      </c>
      <c r="N362" s="10">
        <f t="shared" si="172"/>
        <v>763</v>
      </c>
      <c r="O362" s="10">
        <f t="shared" si="173"/>
        <v>763</v>
      </c>
      <c r="P362" s="10">
        <f t="shared" si="174"/>
        <v>0</v>
      </c>
      <c r="Q362" s="10">
        <f t="shared" si="175"/>
        <v>0</v>
      </c>
      <c r="R362" s="10">
        <f t="shared" si="176"/>
        <v>0</v>
      </c>
    </row>
    <row r="363" spans="1:18" ht="13.5" thickTop="1" x14ac:dyDescent="0.2">
      <c r="A363" s="11"/>
      <c r="B363" s="11"/>
      <c r="C363" s="11" t="s">
        <v>26</v>
      </c>
      <c r="D363" s="11"/>
      <c r="E363" s="12"/>
      <c r="F363" s="13">
        <f t="shared" ref="F363:R363" si="177">COUNTIF(F351:F362,"&gt;0")</f>
        <v>12</v>
      </c>
      <c r="G363" s="13">
        <f t="shared" si="177"/>
        <v>12</v>
      </c>
      <c r="H363" s="13">
        <f t="shared" si="177"/>
        <v>12</v>
      </c>
      <c r="I363" s="13">
        <f t="shared" si="177"/>
        <v>12</v>
      </c>
      <c r="J363" s="13">
        <f t="shared" si="177"/>
        <v>12</v>
      </c>
      <c r="K363" s="13">
        <f t="shared" si="177"/>
        <v>12</v>
      </c>
      <c r="L363" s="13">
        <f t="shared" si="177"/>
        <v>0</v>
      </c>
      <c r="M363" s="13">
        <f t="shared" si="177"/>
        <v>12</v>
      </c>
      <c r="N363" s="13">
        <f t="shared" si="177"/>
        <v>12</v>
      </c>
      <c r="O363" s="13">
        <f t="shared" si="177"/>
        <v>4</v>
      </c>
      <c r="P363" s="13">
        <f t="shared" si="177"/>
        <v>4</v>
      </c>
      <c r="Q363" s="13">
        <f t="shared" si="177"/>
        <v>5</v>
      </c>
      <c r="R363" s="13">
        <f t="shared" si="177"/>
        <v>11</v>
      </c>
    </row>
    <row r="364" spans="1:18" x14ac:dyDescent="0.2">
      <c r="A364" s="8"/>
      <c r="B364" s="8"/>
      <c r="C364" s="8" t="s">
        <v>27</v>
      </c>
      <c r="D364" s="8"/>
      <c r="E364" s="69"/>
      <c r="F364" s="15">
        <f t="shared" ref="F364:R364" si="178">SUM(F351:F362)</f>
        <v>189390</v>
      </c>
      <c r="G364" s="15">
        <f t="shared" si="178"/>
        <v>92169</v>
      </c>
      <c r="H364" s="93">
        <f>F364/G364</f>
        <v>2.0548123555642355</v>
      </c>
      <c r="I364" s="15">
        <f t="shared" si="178"/>
        <v>99637</v>
      </c>
      <c r="J364" s="15">
        <f t="shared" si="178"/>
        <v>23.7</v>
      </c>
      <c r="K364" s="15">
        <f t="shared" si="178"/>
        <v>5396.65</v>
      </c>
      <c r="L364" s="15">
        <f t="shared" si="178"/>
        <v>0</v>
      </c>
      <c r="M364" s="15">
        <f t="shared" si="178"/>
        <v>68872</v>
      </c>
      <c r="N364" s="15">
        <f t="shared" si="178"/>
        <v>64627</v>
      </c>
      <c r="O364" s="15">
        <f t="shared" si="178"/>
        <v>26483</v>
      </c>
      <c r="P364" s="15">
        <f t="shared" si="178"/>
        <v>20489</v>
      </c>
      <c r="Q364" s="15">
        <f t="shared" si="178"/>
        <v>55176</v>
      </c>
      <c r="R364" s="15">
        <f t="shared" si="178"/>
        <v>90540</v>
      </c>
    </row>
    <row r="365" spans="1:18" x14ac:dyDescent="0.2">
      <c r="A365" s="8"/>
      <c r="B365" s="8"/>
      <c r="C365" s="8" t="s">
        <v>28</v>
      </c>
      <c r="D365" s="8"/>
      <c r="E365" s="69"/>
      <c r="F365" s="10">
        <f t="shared" ref="F365:R365" si="179">MIN(F351:F362)</f>
        <v>2968</v>
      </c>
      <c r="G365" s="10">
        <f t="shared" si="179"/>
        <v>1629</v>
      </c>
      <c r="H365" s="10">
        <f t="shared" si="179"/>
        <v>1.4121101660591333</v>
      </c>
      <c r="I365" s="10">
        <f t="shared" si="179"/>
        <v>3226.5</v>
      </c>
      <c r="J365" s="10">
        <f t="shared" si="179"/>
        <v>0.5</v>
      </c>
      <c r="K365" s="10">
        <f t="shared" si="179"/>
        <v>360</v>
      </c>
      <c r="L365" s="10">
        <f t="shared" si="179"/>
        <v>0</v>
      </c>
      <c r="M365" s="10">
        <f t="shared" si="179"/>
        <v>781</v>
      </c>
      <c r="N365" s="10">
        <f t="shared" si="179"/>
        <v>763</v>
      </c>
      <c r="O365" s="10">
        <f t="shared" si="179"/>
        <v>0</v>
      </c>
      <c r="P365" s="10">
        <f t="shared" si="179"/>
        <v>0</v>
      </c>
      <c r="Q365" s="10">
        <f t="shared" si="179"/>
        <v>0</v>
      </c>
      <c r="R365" s="10">
        <f t="shared" si="179"/>
        <v>0</v>
      </c>
    </row>
    <row r="366" spans="1:18" x14ac:dyDescent="0.2">
      <c r="A366" s="8"/>
      <c r="B366" s="8"/>
      <c r="C366" s="8" t="s">
        <v>29</v>
      </c>
      <c r="D366" s="8"/>
      <c r="E366" s="69"/>
      <c r="F366" s="10">
        <f t="shared" ref="F366:R366" si="180">MAX(F351:F362)</f>
        <v>65246</v>
      </c>
      <c r="G366" s="10">
        <f t="shared" si="180"/>
        <v>29072</v>
      </c>
      <c r="H366" s="10">
        <f t="shared" si="180"/>
        <v>2.4291201755990488</v>
      </c>
      <c r="I366" s="10">
        <f t="shared" si="180"/>
        <v>17902.7</v>
      </c>
      <c r="J366" s="10">
        <f t="shared" si="180"/>
        <v>6.6</v>
      </c>
      <c r="K366" s="10">
        <f t="shared" si="180"/>
        <v>695</v>
      </c>
      <c r="L366" s="10">
        <f t="shared" si="180"/>
        <v>0</v>
      </c>
      <c r="M366" s="10">
        <f t="shared" si="180"/>
        <v>25119</v>
      </c>
      <c r="N366" s="10">
        <f t="shared" si="180"/>
        <v>22029</v>
      </c>
      <c r="O366" s="10">
        <f t="shared" si="180"/>
        <v>22029</v>
      </c>
      <c r="P366" s="10">
        <f t="shared" si="180"/>
        <v>10228</v>
      </c>
      <c r="Q366" s="10">
        <f t="shared" si="180"/>
        <v>29072</v>
      </c>
      <c r="R366" s="10">
        <f t="shared" si="180"/>
        <v>29072</v>
      </c>
    </row>
    <row r="367" spans="1:18" x14ac:dyDescent="0.2">
      <c r="A367" s="8"/>
      <c r="B367" s="8"/>
      <c r="C367" s="8" t="s">
        <v>30</v>
      </c>
      <c r="D367" s="8"/>
      <c r="E367" s="69"/>
      <c r="F367" s="10">
        <f t="shared" ref="F367:R367" si="181">AVERAGE(F351:F362)</f>
        <v>15782.5</v>
      </c>
      <c r="G367" s="10">
        <f t="shared" si="181"/>
        <v>7680.75</v>
      </c>
      <c r="H367" s="10">
        <f t="shared" si="181"/>
        <v>1.9229799926119286</v>
      </c>
      <c r="I367" s="10">
        <f t="shared" si="181"/>
        <v>8303.0833333333339</v>
      </c>
      <c r="J367" s="10">
        <f t="shared" si="181"/>
        <v>1.9749999999999999</v>
      </c>
      <c r="K367" s="10">
        <f t="shared" si="181"/>
        <v>449.7208333333333</v>
      </c>
      <c r="L367" s="10">
        <f t="shared" si="181"/>
        <v>0</v>
      </c>
      <c r="M367" s="10">
        <f t="shared" si="181"/>
        <v>5739.333333333333</v>
      </c>
      <c r="N367" s="10">
        <f t="shared" si="181"/>
        <v>5385.583333333333</v>
      </c>
      <c r="O367" s="10">
        <f t="shared" si="181"/>
        <v>2206.9166666666665</v>
      </c>
      <c r="P367" s="10">
        <f t="shared" si="181"/>
        <v>1707.4166666666667</v>
      </c>
      <c r="Q367" s="10">
        <f t="shared" si="181"/>
        <v>4598</v>
      </c>
      <c r="R367" s="10">
        <f t="shared" si="181"/>
        <v>7545</v>
      </c>
    </row>
    <row r="368" spans="1:18" ht="13.5" thickBot="1" x14ac:dyDescent="0.25">
      <c r="A368" s="16"/>
      <c r="B368" s="16"/>
      <c r="C368" s="16" t="s">
        <v>31</v>
      </c>
      <c r="D368" s="16"/>
      <c r="E368" s="69"/>
      <c r="F368" s="18">
        <f t="shared" ref="F368:R368" si="182">MEDIAN(F351:F362)</f>
        <v>10871.5</v>
      </c>
      <c r="G368" s="18">
        <f t="shared" si="182"/>
        <v>5429</v>
      </c>
      <c r="H368" s="18">
        <f t="shared" si="182"/>
        <v>1.9211282073566278</v>
      </c>
      <c r="I368" s="18">
        <f t="shared" si="182"/>
        <v>7566.85</v>
      </c>
      <c r="J368" s="18">
        <f t="shared" si="182"/>
        <v>1.55</v>
      </c>
      <c r="K368" s="18">
        <f t="shared" si="182"/>
        <v>410.5</v>
      </c>
      <c r="L368" s="18">
        <f t="shared" si="182"/>
        <v>0</v>
      </c>
      <c r="M368" s="18">
        <f t="shared" si="182"/>
        <v>4149.5</v>
      </c>
      <c r="N368" s="18">
        <f t="shared" si="182"/>
        <v>4114.5</v>
      </c>
      <c r="O368" s="18">
        <f t="shared" si="182"/>
        <v>0</v>
      </c>
      <c r="P368" s="18">
        <f t="shared" si="182"/>
        <v>0</v>
      </c>
      <c r="Q368" s="18">
        <f t="shared" si="182"/>
        <v>0</v>
      </c>
      <c r="R368" s="18">
        <f t="shared" si="182"/>
        <v>5429</v>
      </c>
    </row>
    <row r="369" spans="1:18" ht="13.5" thickTop="1" x14ac:dyDescent="0.2">
      <c r="B369"/>
      <c r="C369" s="5"/>
      <c r="D369" s="5"/>
    </row>
    <row r="370" spans="1:18" ht="13.5" thickBot="1" x14ac:dyDescent="0.25">
      <c r="A370" s="25"/>
      <c r="B370" s="25"/>
      <c r="C370" s="27" t="s">
        <v>39</v>
      </c>
      <c r="D370" s="27"/>
    </row>
    <row r="371" spans="1:18" ht="13.5" thickTop="1" x14ac:dyDescent="0.2">
      <c r="A371" s="8">
        <v>10600</v>
      </c>
      <c r="B371" s="77" t="str">
        <f t="shared" ref="B371:B376" si="183">VLOOKUP($A371,$A$5:$K$132,2,FALSE)</f>
        <v>Bellingen</v>
      </c>
      <c r="C371" s="9" t="str">
        <f t="shared" ref="C371:C376" si="184">VLOOKUP($A371,$A$5:$K$133,3,FALSE)</f>
        <v>MidWaste</v>
      </c>
      <c r="D371" s="45" t="str">
        <f t="shared" ref="D371:D376" si="185">VLOOKUP($A371,$A$5:$K$133,4,FALSE)</f>
        <v>R</v>
      </c>
      <c r="E371" s="10" t="str">
        <f t="shared" ref="E371:E376" si="186">VLOOKUP($A371,$A$5:$R$132,5,FALSE)</f>
        <v>MNCJO</v>
      </c>
      <c r="F371" s="10">
        <f t="shared" ref="F371:F376" si="187">VLOOKUP($A371,$A$5:$R$132,6,FALSE)</f>
        <v>13231</v>
      </c>
      <c r="G371" s="10">
        <f t="shared" ref="G371:G376" si="188">VLOOKUP($A371,$A$5:$R$132,7,FALSE)</f>
        <v>6366</v>
      </c>
      <c r="H371" s="10">
        <f t="shared" ref="H371:H376" si="189">VLOOKUP($A371,$A$5:$R$132,8,FALSE)</f>
        <v>2.0783851712221173</v>
      </c>
      <c r="I371" s="10">
        <f t="shared" ref="I371:I376" si="190">VLOOKUP($A371,$A$5:$R$132,9,FALSE)</f>
        <v>1600.4</v>
      </c>
      <c r="J371" s="10">
        <f t="shared" ref="J371:J376" si="191">VLOOKUP($A371,$A$5:$R$132,10,FALSE)</f>
        <v>8.3000000000000007</v>
      </c>
      <c r="K371" s="10">
        <f t="shared" ref="K371:K376" si="192">VLOOKUP($A371,$A$5:$R$132,11,FALSE)</f>
        <v>802</v>
      </c>
      <c r="L371" s="10">
        <f t="shared" ref="L371:L376" si="193">VLOOKUP($A371,$A$4:$R$132,12,FALSE)</f>
        <v>0</v>
      </c>
      <c r="M371" s="10">
        <f t="shared" ref="M371:M376" si="194">VLOOKUP($A371,$A$4:$R$132,13,FALSE)</f>
        <v>8240</v>
      </c>
      <c r="N371" s="10">
        <f t="shared" ref="N371:N376" si="195">VLOOKUP($A371,$A$4:$R$132,14,FALSE)</f>
        <v>4120</v>
      </c>
      <c r="O371" s="10">
        <f t="shared" ref="O371:O376" si="196">VLOOKUP($A371,$A$4:$R$132,15,FALSE)</f>
        <v>0</v>
      </c>
      <c r="P371" s="10">
        <f t="shared" ref="P371:P376" si="197">VLOOKUP($A371,$A$4:$R$132,16,FALSE)</f>
        <v>4120</v>
      </c>
      <c r="Q371" s="10">
        <f t="shared" ref="Q371:Q376" si="198">VLOOKUP($A371,$A$4:$R$132,17,FALSE)</f>
        <v>6366</v>
      </c>
      <c r="R371" s="10">
        <f t="shared" ref="R371:R376" si="199">VLOOKUP($A371,$A$4:$R$132,18,FALSE)</f>
        <v>6366</v>
      </c>
    </row>
    <row r="372" spans="1:18" x14ac:dyDescent="0.2">
      <c r="A372" s="8">
        <v>11800</v>
      </c>
      <c r="B372" s="77" t="str">
        <f t="shared" si="183"/>
        <v>Coffs Harbour</v>
      </c>
      <c r="C372" s="9" t="str">
        <f t="shared" si="184"/>
        <v>MidWaste</v>
      </c>
      <c r="D372" s="45" t="str">
        <f t="shared" si="185"/>
        <v>R</v>
      </c>
      <c r="E372" s="10">
        <f t="shared" si="186"/>
        <v>0</v>
      </c>
      <c r="F372" s="10">
        <f t="shared" si="187"/>
        <v>80489</v>
      </c>
      <c r="G372" s="10">
        <f t="shared" si="188"/>
        <v>33891</v>
      </c>
      <c r="H372" s="10">
        <f t="shared" si="189"/>
        <v>2.3749372989879318</v>
      </c>
      <c r="I372" s="10">
        <f t="shared" si="190"/>
        <v>1173.7</v>
      </c>
      <c r="J372" s="10">
        <f t="shared" si="191"/>
        <v>68.599999999999994</v>
      </c>
      <c r="K372" s="10">
        <f t="shared" si="192"/>
        <v>702.5</v>
      </c>
      <c r="L372" s="10">
        <f t="shared" si="193"/>
        <v>0</v>
      </c>
      <c r="M372" s="10">
        <f t="shared" si="194"/>
        <v>31557</v>
      </c>
      <c r="N372" s="10">
        <f t="shared" si="195"/>
        <v>28375</v>
      </c>
      <c r="O372" s="10">
        <f t="shared" si="196"/>
        <v>0</v>
      </c>
      <c r="P372" s="10">
        <f t="shared" si="197"/>
        <v>28375</v>
      </c>
      <c r="Q372" s="10">
        <f t="shared" si="198"/>
        <v>33891</v>
      </c>
      <c r="R372" s="10">
        <f t="shared" si="199"/>
        <v>33891</v>
      </c>
    </row>
    <row r="373" spans="1:18" x14ac:dyDescent="0.2">
      <c r="A373" s="8">
        <v>14350</v>
      </c>
      <c r="B373" s="77" t="str">
        <f t="shared" si="183"/>
        <v>Kempsey</v>
      </c>
      <c r="C373" s="9" t="str">
        <f t="shared" si="184"/>
        <v>MidWaste</v>
      </c>
      <c r="D373" s="45" t="str">
        <f t="shared" si="185"/>
        <v>R</v>
      </c>
      <c r="E373" s="10" t="str">
        <f t="shared" si="186"/>
        <v>MNCJO</v>
      </c>
      <c r="F373" s="10">
        <f t="shared" si="187"/>
        <v>31453</v>
      </c>
      <c r="G373" s="10">
        <f t="shared" si="188"/>
        <v>16184</v>
      </c>
      <c r="H373" s="10">
        <f t="shared" si="189"/>
        <v>1.9434626791893228</v>
      </c>
      <c r="I373" s="10">
        <f t="shared" si="190"/>
        <v>3375.7</v>
      </c>
      <c r="J373" s="10">
        <f t="shared" si="191"/>
        <v>9.3000000000000007</v>
      </c>
      <c r="K373" s="10">
        <f t="shared" si="192"/>
        <v>485</v>
      </c>
      <c r="L373" s="10">
        <f t="shared" si="193"/>
        <v>0</v>
      </c>
      <c r="M373" s="10">
        <f t="shared" si="194"/>
        <v>12088</v>
      </c>
      <c r="N373" s="10">
        <f t="shared" si="195"/>
        <v>11040</v>
      </c>
      <c r="O373" s="10">
        <f t="shared" si="196"/>
        <v>0</v>
      </c>
      <c r="P373" s="10">
        <f t="shared" si="197"/>
        <v>11040</v>
      </c>
      <c r="Q373" s="10">
        <f t="shared" si="198"/>
        <v>0</v>
      </c>
      <c r="R373" s="10">
        <f t="shared" si="199"/>
        <v>16184</v>
      </c>
    </row>
    <row r="374" spans="1:18" x14ac:dyDescent="0.2">
      <c r="A374" s="8">
        <v>15240</v>
      </c>
      <c r="B374" s="77" t="str">
        <f t="shared" si="183"/>
        <v>Mid-Coast</v>
      </c>
      <c r="C374" s="9" t="str">
        <f t="shared" si="184"/>
        <v>MidWaste</v>
      </c>
      <c r="D374" s="45" t="str">
        <f t="shared" si="185"/>
        <v>R</v>
      </c>
      <c r="E374" s="10" t="str">
        <f t="shared" si="186"/>
        <v>HJO</v>
      </c>
      <c r="F374" s="10">
        <f t="shared" si="187"/>
        <v>97909</v>
      </c>
      <c r="G374" s="10">
        <f t="shared" si="188"/>
        <v>50350</v>
      </c>
      <c r="H374" s="10">
        <f t="shared" si="189"/>
        <v>1.9445680238331677</v>
      </c>
      <c r="I374" s="10">
        <f t="shared" si="190"/>
        <v>10053.9</v>
      </c>
      <c r="J374" s="10">
        <f t="shared" si="191"/>
        <v>9.6999999999999993</v>
      </c>
      <c r="K374" s="10">
        <f t="shared" si="192"/>
        <v>393</v>
      </c>
      <c r="L374" s="10">
        <f t="shared" si="193"/>
        <v>0</v>
      </c>
      <c r="M374" s="10">
        <f t="shared" si="194"/>
        <v>46664</v>
      </c>
      <c r="N374" s="10">
        <f t="shared" si="195"/>
        <v>46156</v>
      </c>
      <c r="O374" s="10">
        <f t="shared" si="196"/>
        <v>38850</v>
      </c>
      <c r="P374" s="10">
        <f t="shared" si="197"/>
        <v>0</v>
      </c>
      <c r="Q374" s="10">
        <f t="shared" si="198"/>
        <v>50350</v>
      </c>
      <c r="R374" s="10">
        <f t="shared" si="199"/>
        <v>50350</v>
      </c>
    </row>
    <row r="375" spans="1:18" x14ac:dyDescent="0.2">
      <c r="A375" s="8">
        <v>15700</v>
      </c>
      <c r="B375" s="77" t="str">
        <f t="shared" si="183"/>
        <v>Nambucca</v>
      </c>
      <c r="C375" s="9" t="str">
        <f t="shared" si="184"/>
        <v>MidWaste</v>
      </c>
      <c r="D375" s="45" t="str">
        <f t="shared" si="185"/>
        <v>R</v>
      </c>
      <c r="E375" s="10">
        <f t="shared" si="186"/>
        <v>0</v>
      </c>
      <c r="F375" s="10">
        <f t="shared" si="187"/>
        <v>20774</v>
      </c>
      <c r="G375" s="10">
        <f t="shared" si="188"/>
        <v>10914</v>
      </c>
      <c r="H375" s="10">
        <f t="shared" si="189"/>
        <v>1.9034267912772587</v>
      </c>
      <c r="I375" s="10">
        <f t="shared" si="190"/>
        <v>1491.3</v>
      </c>
      <c r="J375" s="10">
        <f t="shared" si="191"/>
        <v>13.9</v>
      </c>
      <c r="K375" s="10">
        <f t="shared" si="192"/>
        <v>611</v>
      </c>
      <c r="L375" s="10">
        <f t="shared" si="193"/>
        <v>0</v>
      </c>
      <c r="M375" s="10">
        <f t="shared" si="194"/>
        <v>7740</v>
      </c>
      <c r="N375" s="10">
        <f t="shared" si="195"/>
        <v>7740</v>
      </c>
      <c r="O375" s="10">
        <f t="shared" si="196"/>
        <v>0</v>
      </c>
      <c r="P375" s="10">
        <f t="shared" si="197"/>
        <v>7740</v>
      </c>
      <c r="Q375" s="10">
        <f t="shared" si="198"/>
        <v>10914</v>
      </c>
      <c r="R375" s="10">
        <f t="shared" si="199"/>
        <v>10914</v>
      </c>
    </row>
    <row r="376" spans="1:18" ht="13.5" thickBot="1" x14ac:dyDescent="0.25">
      <c r="A376" s="8">
        <v>16380</v>
      </c>
      <c r="B376" s="77" t="str">
        <f t="shared" si="183"/>
        <v>Port Macquarie-Hastings</v>
      </c>
      <c r="C376" s="9" t="str">
        <f t="shared" si="184"/>
        <v>MidWaste</v>
      </c>
      <c r="D376" s="45" t="str">
        <f t="shared" si="185"/>
        <v>R</v>
      </c>
      <c r="E376" s="10" t="str">
        <f t="shared" si="186"/>
        <v>MNCJO</v>
      </c>
      <c r="F376" s="10">
        <f t="shared" si="187"/>
        <v>89596</v>
      </c>
      <c r="G376" s="10">
        <f t="shared" si="188"/>
        <v>40996</v>
      </c>
      <c r="H376" s="10">
        <f t="shared" si="189"/>
        <v>2.1854815103912575</v>
      </c>
      <c r="I376" s="10">
        <f t="shared" si="190"/>
        <v>3682.4</v>
      </c>
      <c r="J376" s="10">
        <f t="shared" si="191"/>
        <v>24.3</v>
      </c>
      <c r="K376" s="10">
        <f t="shared" si="192"/>
        <v>524.27</v>
      </c>
      <c r="L376" s="10">
        <f t="shared" si="193"/>
        <v>0</v>
      </c>
      <c r="M376" s="10">
        <f t="shared" si="194"/>
        <v>31768</v>
      </c>
      <c r="N376" s="10">
        <f t="shared" si="195"/>
        <v>30984</v>
      </c>
      <c r="O376" s="10">
        <f t="shared" si="196"/>
        <v>0</v>
      </c>
      <c r="P376" s="10">
        <f t="shared" si="197"/>
        <v>30000</v>
      </c>
      <c r="Q376" s="10">
        <f t="shared" si="198"/>
        <v>40996</v>
      </c>
      <c r="R376" s="10">
        <f t="shared" si="199"/>
        <v>40996</v>
      </c>
    </row>
    <row r="377" spans="1:18" ht="13.5" thickTop="1" x14ac:dyDescent="0.2">
      <c r="A377" s="11"/>
      <c r="B377" s="11"/>
      <c r="C377" s="11" t="s">
        <v>26</v>
      </c>
      <c r="D377" s="11"/>
      <c r="E377" s="12"/>
      <c r="F377" s="13">
        <f t="shared" ref="F377:R377" si="200">COUNTIF(F371:F376,"&gt;0")</f>
        <v>6</v>
      </c>
      <c r="G377" s="13">
        <f t="shared" si="200"/>
        <v>6</v>
      </c>
      <c r="H377" s="13">
        <f t="shared" si="200"/>
        <v>6</v>
      </c>
      <c r="I377" s="13">
        <f t="shared" si="200"/>
        <v>6</v>
      </c>
      <c r="J377" s="13">
        <f t="shared" si="200"/>
        <v>6</v>
      </c>
      <c r="K377" s="13">
        <f t="shared" si="200"/>
        <v>6</v>
      </c>
      <c r="L377" s="13">
        <f t="shared" si="200"/>
        <v>0</v>
      </c>
      <c r="M377" s="13">
        <f t="shared" si="200"/>
        <v>6</v>
      </c>
      <c r="N377" s="13">
        <f t="shared" si="200"/>
        <v>6</v>
      </c>
      <c r="O377" s="13">
        <f t="shared" si="200"/>
        <v>1</v>
      </c>
      <c r="P377" s="13">
        <f t="shared" si="200"/>
        <v>5</v>
      </c>
      <c r="Q377" s="13">
        <f t="shared" si="200"/>
        <v>5</v>
      </c>
      <c r="R377" s="13">
        <f t="shared" si="200"/>
        <v>6</v>
      </c>
    </row>
    <row r="378" spans="1:18" x14ac:dyDescent="0.2">
      <c r="A378" s="8"/>
      <c r="B378" s="8"/>
      <c r="C378" s="8" t="s">
        <v>27</v>
      </c>
      <c r="D378" s="8"/>
      <c r="E378" s="69"/>
      <c r="F378" s="15">
        <f t="shared" ref="F378:R378" si="201">SUM(F371:F376)</f>
        <v>333452</v>
      </c>
      <c r="G378" s="15">
        <f t="shared" si="201"/>
        <v>158701</v>
      </c>
      <c r="H378" s="93">
        <f>F378/G378</f>
        <v>2.1011335782383225</v>
      </c>
      <c r="I378" s="15">
        <f t="shared" si="201"/>
        <v>21377.4</v>
      </c>
      <c r="J378" s="15">
        <f t="shared" si="201"/>
        <v>134.1</v>
      </c>
      <c r="K378" s="15">
        <f t="shared" si="201"/>
        <v>3517.77</v>
      </c>
      <c r="L378" s="15">
        <f t="shared" si="201"/>
        <v>0</v>
      </c>
      <c r="M378" s="15">
        <f t="shared" si="201"/>
        <v>138057</v>
      </c>
      <c r="N378" s="15">
        <f t="shared" si="201"/>
        <v>128415</v>
      </c>
      <c r="O378" s="15">
        <f t="shared" si="201"/>
        <v>38850</v>
      </c>
      <c r="P378" s="15">
        <f t="shared" si="201"/>
        <v>81275</v>
      </c>
      <c r="Q378" s="15">
        <f t="shared" si="201"/>
        <v>142517</v>
      </c>
      <c r="R378" s="15">
        <f t="shared" si="201"/>
        <v>158701</v>
      </c>
    </row>
    <row r="379" spans="1:18" x14ac:dyDescent="0.2">
      <c r="A379" s="8"/>
      <c r="B379" s="8"/>
      <c r="C379" s="8" t="s">
        <v>28</v>
      </c>
      <c r="D379" s="8"/>
      <c r="E379" s="69"/>
      <c r="F379" s="10">
        <f t="shared" ref="F379:R379" si="202">MIN(F371:F376)</f>
        <v>13231</v>
      </c>
      <c r="G379" s="10">
        <f t="shared" si="202"/>
        <v>6366</v>
      </c>
      <c r="H379" s="10">
        <f t="shared" si="202"/>
        <v>1.9034267912772587</v>
      </c>
      <c r="I379" s="10">
        <f t="shared" si="202"/>
        <v>1173.7</v>
      </c>
      <c r="J379" s="10">
        <f t="shared" si="202"/>
        <v>8.3000000000000007</v>
      </c>
      <c r="K379" s="10">
        <f t="shared" si="202"/>
        <v>393</v>
      </c>
      <c r="L379" s="10">
        <f t="shared" si="202"/>
        <v>0</v>
      </c>
      <c r="M379" s="10">
        <f t="shared" si="202"/>
        <v>7740</v>
      </c>
      <c r="N379" s="10">
        <f t="shared" si="202"/>
        <v>4120</v>
      </c>
      <c r="O379" s="10">
        <f t="shared" si="202"/>
        <v>0</v>
      </c>
      <c r="P379" s="10">
        <f t="shared" si="202"/>
        <v>0</v>
      </c>
      <c r="Q379" s="10">
        <f t="shared" si="202"/>
        <v>0</v>
      </c>
      <c r="R379" s="10">
        <f t="shared" si="202"/>
        <v>6366</v>
      </c>
    </row>
    <row r="380" spans="1:18" x14ac:dyDescent="0.2">
      <c r="A380" s="8"/>
      <c r="B380" s="8"/>
      <c r="C380" s="8" t="s">
        <v>29</v>
      </c>
      <c r="D380" s="8"/>
      <c r="E380" s="69"/>
      <c r="F380" s="10">
        <f t="shared" ref="F380:R380" si="203">MAX(F371:F376)</f>
        <v>97909</v>
      </c>
      <c r="G380" s="10">
        <f t="shared" si="203"/>
        <v>50350</v>
      </c>
      <c r="H380" s="10">
        <f t="shared" si="203"/>
        <v>2.3749372989879318</v>
      </c>
      <c r="I380" s="10">
        <f t="shared" si="203"/>
        <v>10053.9</v>
      </c>
      <c r="J380" s="10">
        <f t="shared" si="203"/>
        <v>68.599999999999994</v>
      </c>
      <c r="K380" s="10">
        <f t="shared" si="203"/>
        <v>802</v>
      </c>
      <c r="L380" s="10">
        <f t="shared" si="203"/>
        <v>0</v>
      </c>
      <c r="M380" s="10">
        <f t="shared" si="203"/>
        <v>46664</v>
      </c>
      <c r="N380" s="10">
        <f t="shared" si="203"/>
        <v>46156</v>
      </c>
      <c r="O380" s="10">
        <f t="shared" si="203"/>
        <v>38850</v>
      </c>
      <c r="P380" s="10">
        <f t="shared" si="203"/>
        <v>30000</v>
      </c>
      <c r="Q380" s="10">
        <f t="shared" si="203"/>
        <v>50350</v>
      </c>
      <c r="R380" s="10">
        <f t="shared" si="203"/>
        <v>50350</v>
      </c>
    </row>
    <row r="381" spans="1:18" x14ac:dyDescent="0.2">
      <c r="A381" s="8"/>
      <c r="B381" s="8"/>
      <c r="C381" s="8" t="s">
        <v>30</v>
      </c>
      <c r="D381" s="8"/>
      <c r="E381" s="69"/>
      <c r="F381" s="10">
        <f t="shared" ref="F381:R381" si="204">AVERAGE(F371:F376)</f>
        <v>55575.333333333336</v>
      </c>
      <c r="G381" s="10">
        <f t="shared" si="204"/>
        <v>26450.166666666668</v>
      </c>
      <c r="H381" s="10">
        <f t="shared" si="204"/>
        <v>2.0717102458168424</v>
      </c>
      <c r="I381" s="10">
        <f t="shared" si="204"/>
        <v>3562.9</v>
      </c>
      <c r="J381" s="10">
        <f t="shared" si="204"/>
        <v>22.349999999999998</v>
      </c>
      <c r="K381" s="10">
        <f t="shared" si="204"/>
        <v>586.29499999999996</v>
      </c>
      <c r="L381" s="10">
        <f t="shared" si="204"/>
        <v>0</v>
      </c>
      <c r="M381" s="10">
        <f t="shared" si="204"/>
        <v>23009.5</v>
      </c>
      <c r="N381" s="10">
        <f t="shared" si="204"/>
        <v>21402.5</v>
      </c>
      <c r="O381" s="10">
        <f t="shared" si="204"/>
        <v>6475</v>
      </c>
      <c r="P381" s="10">
        <f t="shared" si="204"/>
        <v>13545.833333333334</v>
      </c>
      <c r="Q381" s="10">
        <f t="shared" si="204"/>
        <v>23752.833333333332</v>
      </c>
      <c r="R381" s="10">
        <f t="shared" si="204"/>
        <v>26450.166666666668</v>
      </c>
    </row>
    <row r="382" spans="1:18" ht="13.5" thickBot="1" x14ac:dyDescent="0.25">
      <c r="A382" s="16"/>
      <c r="B382" s="16"/>
      <c r="C382" s="16" t="s">
        <v>31</v>
      </c>
      <c r="D382" s="16"/>
      <c r="E382" s="69"/>
      <c r="F382" s="18">
        <f t="shared" ref="F382:R382" si="205">MEDIAN(F371:F376)</f>
        <v>55971</v>
      </c>
      <c r="G382" s="18">
        <f t="shared" si="205"/>
        <v>25037.5</v>
      </c>
      <c r="H382" s="18">
        <f t="shared" si="205"/>
        <v>2.0114765975276425</v>
      </c>
      <c r="I382" s="18">
        <f t="shared" si="205"/>
        <v>2488.0500000000002</v>
      </c>
      <c r="J382" s="18">
        <f t="shared" si="205"/>
        <v>11.8</v>
      </c>
      <c r="K382" s="18">
        <f t="shared" si="205"/>
        <v>567.63499999999999</v>
      </c>
      <c r="L382" s="18">
        <f t="shared" si="205"/>
        <v>0</v>
      </c>
      <c r="M382" s="18">
        <f t="shared" si="205"/>
        <v>21822.5</v>
      </c>
      <c r="N382" s="18">
        <f t="shared" si="205"/>
        <v>19707.5</v>
      </c>
      <c r="O382" s="18">
        <f t="shared" si="205"/>
        <v>0</v>
      </c>
      <c r="P382" s="18">
        <f t="shared" si="205"/>
        <v>9390</v>
      </c>
      <c r="Q382" s="18">
        <f t="shared" si="205"/>
        <v>22402.5</v>
      </c>
      <c r="R382" s="18">
        <f t="shared" si="205"/>
        <v>25037.5</v>
      </c>
    </row>
    <row r="383" spans="1:18" ht="13.5" thickTop="1" x14ac:dyDescent="0.2"/>
    <row r="384" spans="1:18" ht="13.5" thickBot="1" x14ac:dyDescent="0.25">
      <c r="A384" s="25"/>
      <c r="B384" s="25"/>
      <c r="C384" s="27" t="s">
        <v>38</v>
      </c>
      <c r="D384" s="27"/>
    </row>
    <row r="385" spans="1:18" ht="13.5" thickTop="1" x14ac:dyDescent="0.2">
      <c r="A385" s="8">
        <v>10470</v>
      </c>
      <c r="B385" s="77" t="str">
        <f t="shared" ref="B385:B409" si="206">VLOOKUP($A385,$A$5:$K$132,2,FALSE)</f>
        <v>Bathurst Regional</v>
      </c>
      <c r="C385" s="9" t="str">
        <f t="shared" ref="C385:C409" si="207">VLOOKUP($A385,$A$5:$K$133,3,FALSE)</f>
        <v>NetWaste</v>
      </c>
      <c r="D385" s="45" t="str">
        <f t="shared" ref="D385:D409" si="208">VLOOKUP($A385,$A$5:$K$133,4,FALSE)</f>
        <v>N</v>
      </c>
      <c r="E385" s="10" t="str">
        <f t="shared" ref="E385:E409" si="209">VLOOKUP($A385,$A$5:$R$132,5,FALSE)</f>
        <v>CNJO</v>
      </c>
      <c r="F385" s="10">
        <f t="shared" ref="F385:F409" si="210">VLOOKUP($A385,$A$5:$R$132,6,FALSE)</f>
        <v>44612</v>
      </c>
      <c r="G385" s="10">
        <f t="shared" ref="G385:G409" si="211">VLOOKUP($A385,$A$5:$R$132,7,FALSE)</f>
        <v>20350</v>
      </c>
      <c r="H385" s="10">
        <f t="shared" ref="H385:H409" si="212">VLOOKUP($A385,$A$5:$R$132,8,FALSE)</f>
        <v>2.1922358722358721</v>
      </c>
      <c r="I385" s="10">
        <f t="shared" ref="I385:I409" si="213">VLOOKUP($A385,$A$5:$R$132,9,FALSE)</f>
        <v>3817.9</v>
      </c>
      <c r="J385" s="10">
        <f t="shared" ref="J385:J409" si="214">VLOOKUP($A385,$A$5:$R$132,10,FALSE)</f>
        <v>11.7</v>
      </c>
      <c r="K385" s="10">
        <f t="shared" ref="K385:K409" si="215">VLOOKUP($A385,$A$5:$R$132,11,FALSE)</f>
        <v>464</v>
      </c>
      <c r="L385" s="10">
        <f t="shared" ref="L385:L409" si="216">VLOOKUP($A385,$A$4:$R$132,12,FALSE)</f>
        <v>0</v>
      </c>
      <c r="M385" s="10">
        <f t="shared" ref="M385:M409" si="217">VLOOKUP($A385,$A$4:$R$132,13,FALSE)</f>
        <v>16910</v>
      </c>
      <c r="N385" s="10">
        <f t="shared" ref="N385:N409" si="218">VLOOKUP($A385,$A$4:$R$132,14,FALSE)</f>
        <v>15845</v>
      </c>
      <c r="O385" s="10">
        <f t="shared" ref="O385:O409" si="219">VLOOKUP($A385,$A$4:$R$132,15,FALSE)</f>
        <v>0</v>
      </c>
      <c r="P385" s="10">
        <f t="shared" ref="P385:P409" si="220">VLOOKUP($A385,$A$4:$R$132,16,FALSE)</f>
        <v>14393</v>
      </c>
      <c r="Q385" s="10">
        <f t="shared" ref="Q385:Q409" si="221">VLOOKUP($A385,$A$4:$R$132,17,FALSE)</f>
        <v>0</v>
      </c>
      <c r="R385" s="10">
        <f t="shared" ref="R385:R409" si="222">VLOOKUP($A385,$A$4:$R$132,18,FALSE)</f>
        <v>20350</v>
      </c>
    </row>
    <row r="386" spans="1:18" x14ac:dyDescent="0.2">
      <c r="A386" s="8">
        <v>10850</v>
      </c>
      <c r="B386" s="77" t="str">
        <f t="shared" si="206"/>
        <v>Blayney</v>
      </c>
      <c r="C386" s="9" t="str">
        <f t="shared" si="207"/>
        <v>NetWaste</v>
      </c>
      <c r="D386" s="45" t="str">
        <f t="shared" si="208"/>
        <v>N</v>
      </c>
      <c r="E386" s="10" t="str">
        <f t="shared" si="209"/>
        <v>CNJO</v>
      </c>
      <c r="F386" s="10">
        <f t="shared" si="210"/>
        <v>7644</v>
      </c>
      <c r="G386" s="10">
        <f t="shared" si="211"/>
        <v>4379</v>
      </c>
      <c r="H386" s="10">
        <f t="shared" si="212"/>
        <v>1.7456040191824618</v>
      </c>
      <c r="I386" s="10">
        <f t="shared" si="213"/>
        <v>1524.6</v>
      </c>
      <c r="J386" s="10">
        <f t="shared" si="214"/>
        <v>5</v>
      </c>
      <c r="K386" s="10">
        <f t="shared" si="215"/>
        <v>348</v>
      </c>
      <c r="L386" s="10">
        <f t="shared" si="216"/>
        <v>0</v>
      </c>
      <c r="M386" s="10">
        <f t="shared" si="217"/>
        <v>2687</v>
      </c>
      <c r="N386" s="10">
        <f t="shared" si="218"/>
        <v>2730</v>
      </c>
      <c r="O386" s="10">
        <f t="shared" si="219"/>
        <v>0</v>
      </c>
      <c r="P386" s="10">
        <f t="shared" si="220"/>
        <v>0</v>
      </c>
      <c r="Q386" s="10">
        <f t="shared" si="221"/>
        <v>4379</v>
      </c>
      <c r="R386" s="10">
        <f t="shared" si="222"/>
        <v>4379</v>
      </c>
    </row>
    <row r="387" spans="1:18" x14ac:dyDescent="0.2">
      <c r="A387" s="8">
        <v>10950</v>
      </c>
      <c r="B387" s="77" t="str">
        <f t="shared" si="206"/>
        <v>Bogan</v>
      </c>
      <c r="C387" s="9" t="str">
        <f t="shared" si="207"/>
        <v>NetWaste</v>
      </c>
      <c r="D387" s="45" t="str">
        <f t="shared" si="208"/>
        <v>N</v>
      </c>
      <c r="E387" s="10" t="str">
        <f t="shared" si="209"/>
        <v>OJO</v>
      </c>
      <c r="F387" s="10">
        <f t="shared" si="210"/>
        <v>2420</v>
      </c>
      <c r="G387" s="10">
        <f t="shared" si="211"/>
        <v>2137</v>
      </c>
      <c r="H387" s="10">
        <f t="shared" si="212"/>
        <v>1.1324286382779598</v>
      </c>
      <c r="I387" s="10">
        <f t="shared" si="213"/>
        <v>14599.9</v>
      </c>
      <c r="J387" s="10">
        <f t="shared" si="214"/>
        <v>0.2</v>
      </c>
      <c r="K387" s="10">
        <f t="shared" si="215"/>
        <v>511</v>
      </c>
      <c r="L387" s="10">
        <f t="shared" si="216"/>
        <v>0</v>
      </c>
      <c r="M387" s="10">
        <f t="shared" si="217"/>
        <v>1038</v>
      </c>
      <c r="N387" s="10">
        <f t="shared" si="218"/>
        <v>898</v>
      </c>
      <c r="O387" s="10">
        <f t="shared" si="219"/>
        <v>0</v>
      </c>
      <c r="P387" s="10">
        <f t="shared" si="220"/>
        <v>0</v>
      </c>
      <c r="Q387" s="10">
        <f t="shared" si="221"/>
        <v>0</v>
      </c>
      <c r="R387" s="10">
        <f t="shared" si="222"/>
        <v>2137</v>
      </c>
    </row>
    <row r="388" spans="1:18" x14ac:dyDescent="0.2">
      <c r="A388" s="8">
        <v>11150</v>
      </c>
      <c r="B388" s="77" t="str">
        <f t="shared" si="206"/>
        <v>Bourke</v>
      </c>
      <c r="C388" s="9" t="str">
        <f t="shared" si="207"/>
        <v>NetWaste</v>
      </c>
      <c r="D388" s="45" t="str">
        <f t="shared" si="208"/>
        <v>N</v>
      </c>
      <c r="E388" s="10" t="str">
        <f t="shared" si="209"/>
        <v>FNWJO</v>
      </c>
      <c r="F388" s="10">
        <f t="shared" si="210"/>
        <v>2365</v>
      </c>
      <c r="G388" s="10">
        <f t="shared" si="211"/>
        <v>1029</v>
      </c>
      <c r="H388" s="10">
        <f t="shared" si="212"/>
        <v>2.2983479105928084</v>
      </c>
      <c r="I388" s="10">
        <f t="shared" si="213"/>
        <v>41598.400000000001</v>
      </c>
      <c r="J388" s="10">
        <f t="shared" si="214"/>
        <v>0.1</v>
      </c>
      <c r="K388" s="10">
        <f t="shared" si="215"/>
        <v>288</v>
      </c>
      <c r="L388" s="10">
        <f t="shared" si="216"/>
        <v>0</v>
      </c>
      <c r="M388" s="10">
        <f t="shared" si="217"/>
        <v>963</v>
      </c>
      <c r="N388" s="10">
        <f t="shared" si="218"/>
        <v>0</v>
      </c>
      <c r="O388" s="10">
        <f t="shared" si="219"/>
        <v>0</v>
      </c>
      <c r="P388" s="10">
        <f t="shared" si="220"/>
        <v>0</v>
      </c>
      <c r="Q388" s="10">
        <f t="shared" si="221"/>
        <v>0</v>
      </c>
      <c r="R388" s="10">
        <f t="shared" si="222"/>
        <v>0</v>
      </c>
    </row>
    <row r="389" spans="1:18" x14ac:dyDescent="0.2">
      <c r="A389" s="8">
        <v>11200</v>
      </c>
      <c r="B389" s="77" t="str">
        <f t="shared" si="206"/>
        <v>Brewarrina</v>
      </c>
      <c r="C389" s="9" t="str">
        <f t="shared" si="207"/>
        <v>NetWaste</v>
      </c>
      <c r="D389" s="45" t="str">
        <f t="shared" si="208"/>
        <v>N</v>
      </c>
      <c r="E389" s="10">
        <f t="shared" si="209"/>
        <v>0</v>
      </c>
      <c r="F389" s="10">
        <f t="shared" si="210"/>
        <v>1411</v>
      </c>
      <c r="G389" s="10">
        <f t="shared" si="211"/>
        <v>734</v>
      </c>
      <c r="H389" s="10">
        <f t="shared" si="212"/>
        <v>1.9223433242506811</v>
      </c>
      <c r="I389" s="10">
        <f t="shared" si="213"/>
        <v>19162</v>
      </c>
      <c r="J389" s="10">
        <f t="shared" si="214"/>
        <v>0.1</v>
      </c>
      <c r="K389" s="10">
        <f t="shared" si="215"/>
        <v>460</v>
      </c>
      <c r="L389" s="10" t="str">
        <f t="shared" si="216"/>
        <v>2021-2022 data used</v>
      </c>
      <c r="M389" s="10">
        <f t="shared" si="217"/>
        <v>461</v>
      </c>
      <c r="N389" s="10">
        <f t="shared" si="218"/>
        <v>0</v>
      </c>
      <c r="O389" s="10">
        <f t="shared" si="219"/>
        <v>0</v>
      </c>
      <c r="P389" s="10">
        <f t="shared" si="220"/>
        <v>0</v>
      </c>
      <c r="Q389" s="10">
        <f t="shared" si="221"/>
        <v>0</v>
      </c>
      <c r="R389" s="10">
        <f t="shared" si="222"/>
        <v>734</v>
      </c>
    </row>
    <row r="390" spans="1:18" x14ac:dyDescent="0.2">
      <c r="A390" s="8">
        <v>11250</v>
      </c>
      <c r="B390" s="77" t="str">
        <f t="shared" si="206"/>
        <v>Broken Hill</v>
      </c>
      <c r="C390" s="9" t="str">
        <f t="shared" si="207"/>
        <v>NetWaste</v>
      </c>
      <c r="D390" s="45" t="str">
        <f t="shared" si="208"/>
        <v>N</v>
      </c>
      <c r="E390" s="10" t="str">
        <f t="shared" si="209"/>
        <v>FSWJO</v>
      </c>
      <c r="F390" s="10">
        <f t="shared" si="210"/>
        <v>17624</v>
      </c>
      <c r="G390" s="10">
        <f t="shared" si="211"/>
        <v>10578</v>
      </c>
      <c r="H390" s="10">
        <f t="shared" si="212"/>
        <v>1.6660994516921914</v>
      </c>
      <c r="I390" s="10">
        <f t="shared" si="213"/>
        <v>170.1</v>
      </c>
      <c r="J390" s="10">
        <f t="shared" si="214"/>
        <v>103.6</v>
      </c>
      <c r="K390" s="10">
        <f t="shared" si="215"/>
        <v>352</v>
      </c>
      <c r="L390" s="10">
        <f t="shared" si="216"/>
        <v>0</v>
      </c>
      <c r="M390" s="10">
        <f t="shared" si="217"/>
        <v>10017</v>
      </c>
      <c r="N390" s="10">
        <f t="shared" si="218"/>
        <v>0</v>
      </c>
      <c r="O390" s="10">
        <f t="shared" si="219"/>
        <v>0</v>
      </c>
      <c r="P390" s="10">
        <f t="shared" si="220"/>
        <v>9654</v>
      </c>
      <c r="Q390" s="10">
        <f t="shared" si="221"/>
        <v>0</v>
      </c>
      <c r="R390" s="10">
        <f t="shared" si="222"/>
        <v>10578</v>
      </c>
    </row>
    <row r="391" spans="1:18" x14ac:dyDescent="0.2">
      <c r="A391" s="8">
        <v>11400</v>
      </c>
      <c r="B391" s="77" t="str">
        <f t="shared" si="206"/>
        <v>Cabonne</v>
      </c>
      <c r="C391" s="9" t="str">
        <f t="shared" si="207"/>
        <v>NetWaste</v>
      </c>
      <c r="D391" s="45" t="str">
        <f t="shared" si="208"/>
        <v>N</v>
      </c>
      <c r="E391" s="10" t="str">
        <f t="shared" si="209"/>
        <v>CNJO</v>
      </c>
      <c r="F391" s="10">
        <f t="shared" si="210"/>
        <v>13880</v>
      </c>
      <c r="G391" s="10">
        <f t="shared" si="211"/>
        <v>7451</v>
      </c>
      <c r="H391" s="10">
        <f t="shared" si="212"/>
        <v>1.862837203059992</v>
      </c>
      <c r="I391" s="10">
        <f t="shared" si="213"/>
        <v>6022.3</v>
      </c>
      <c r="J391" s="10">
        <f t="shared" si="214"/>
        <v>2.2999999999999998</v>
      </c>
      <c r="K391" s="10">
        <f t="shared" si="215"/>
        <v>419.6</v>
      </c>
      <c r="L391" s="10">
        <f t="shared" si="216"/>
        <v>0</v>
      </c>
      <c r="M391" s="10">
        <f t="shared" si="217"/>
        <v>3767</v>
      </c>
      <c r="N391" s="10">
        <f t="shared" si="218"/>
        <v>3767</v>
      </c>
      <c r="O391" s="10">
        <f t="shared" si="219"/>
        <v>0</v>
      </c>
      <c r="P391" s="10">
        <f t="shared" si="220"/>
        <v>0</v>
      </c>
      <c r="Q391" s="10">
        <f t="shared" si="221"/>
        <v>7451</v>
      </c>
      <c r="R391" s="10">
        <f t="shared" si="222"/>
        <v>7451</v>
      </c>
    </row>
    <row r="392" spans="1:18" x14ac:dyDescent="0.2">
      <c r="A392" s="8">
        <v>11700</v>
      </c>
      <c r="B392" s="77" t="str">
        <f t="shared" si="206"/>
        <v>Central Darling</v>
      </c>
      <c r="C392" s="9" t="str">
        <f t="shared" si="207"/>
        <v>NetWaste</v>
      </c>
      <c r="D392" s="45" t="str">
        <f t="shared" si="208"/>
        <v>N</v>
      </c>
      <c r="E392" s="10" t="str">
        <f t="shared" si="209"/>
        <v>FSWJO</v>
      </c>
      <c r="F392" s="10">
        <f t="shared" si="210"/>
        <v>1757</v>
      </c>
      <c r="G392" s="10">
        <f t="shared" si="211"/>
        <v>1055</v>
      </c>
      <c r="H392" s="10">
        <f t="shared" si="212"/>
        <v>1.6654028436018957</v>
      </c>
      <c r="I392" s="10">
        <f t="shared" si="213"/>
        <v>53492.2</v>
      </c>
      <c r="J392" s="10">
        <f t="shared" si="214"/>
        <v>0</v>
      </c>
      <c r="K392" s="10">
        <f t="shared" si="215"/>
        <v>635</v>
      </c>
      <c r="L392" s="10">
        <f t="shared" si="216"/>
        <v>0</v>
      </c>
      <c r="M392" s="10">
        <f t="shared" si="217"/>
        <v>507</v>
      </c>
      <c r="N392" s="10">
        <f t="shared" si="218"/>
        <v>0</v>
      </c>
      <c r="O392" s="10">
        <f t="shared" si="219"/>
        <v>0</v>
      </c>
      <c r="P392" s="10">
        <f t="shared" si="220"/>
        <v>0</v>
      </c>
      <c r="Q392" s="10">
        <f t="shared" si="221"/>
        <v>1055</v>
      </c>
      <c r="R392" s="10">
        <f t="shared" si="222"/>
        <v>1055</v>
      </c>
    </row>
    <row r="393" spans="1:18" x14ac:dyDescent="0.2">
      <c r="A393" s="8">
        <v>11750</v>
      </c>
      <c r="B393" s="77" t="str">
        <f t="shared" si="206"/>
        <v>Cobar</v>
      </c>
      <c r="C393" s="9" t="str">
        <f t="shared" si="207"/>
        <v>NetWaste</v>
      </c>
      <c r="D393" s="45" t="str">
        <f t="shared" si="208"/>
        <v>N</v>
      </c>
      <c r="E393" s="10" t="str">
        <f t="shared" si="209"/>
        <v>FNWJO</v>
      </c>
      <c r="F393" s="10">
        <f t="shared" si="210"/>
        <v>4078</v>
      </c>
      <c r="G393" s="10">
        <f t="shared" si="211"/>
        <v>2876</v>
      </c>
      <c r="H393" s="10">
        <f t="shared" si="212"/>
        <v>1.417941585535466</v>
      </c>
      <c r="I393" s="10">
        <f t="shared" si="213"/>
        <v>45575.4</v>
      </c>
      <c r="J393" s="10">
        <f t="shared" si="214"/>
        <v>0.1</v>
      </c>
      <c r="K393" s="10">
        <f t="shared" si="215"/>
        <v>260</v>
      </c>
      <c r="L393" s="10">
        <f t="shared" si="216"/>
        <v>0</v>
      </c>
      <c r="M393" s="10">
        <f t="shared" si="217"/>
        <v>2511</v>
      </c>
      <c r="N393" s="10">
        <f t="shared" si="218"/>
        <v>0</v>
      </c>
      <c r="O393" s="10">
        <f t="shared" si="219"/>
        <v>0</v>
      </c>
      <c r="P393" s="10">
        <f t="shared" si="220"/>
        <v>0</v>
      </c>
      <c r="Q393" s="10">
        <f t="shared" si="221"/>
        <v>0</v>
      </c>
      <c r="R393" s="10">
        <f t="shared" si="222"/>
        <v>2876</v>
      </c>
    </row>
    <row r="394" spans="1:18" x14ac:dyDescent="0.2">
      <c r="A394" s="8">
        <v>12150</v>
      </c>
      <c r="B394" s="77" t="str">
        <f t="shared" si="206"/>
        <v>Coonamble</v>
      </c>
      <c r="C394" s="9" t="str">
        <f t="shared" si="207"/>
        <v>NetWaste</v>
      </c>
      <c r="D394" s="45" t="str">
        <f t="shared" si="208"/>
        <v>N</v>
      </c>
      <c r="E394" s="10">
        <f t="shared" si="209"/>
        <v>0</v>
      </c>
      <c r="F394" s="10">
        <f t="shared" si="210"/>
        <v>3861</v>
      </c>
      <c r="G394" s="10">
        <f t="shared" si="211"/>
        <v>2831</v>
      </c>
      <c r="H394" s="10">
        <f t="shared" si="212"/>
        <v>1.3638290356764393</v>
      </c>
      <c r="I394" s="10">
        <f t="shared" si="213"/>
        <v>9916.1</v>
      </c>
      <c r="J394" s="10">
        <f t="shared" si="214"/>
        <v>0.4</v>
      </c>
      <c r="K394" s="10">
        <f t="shared" si="215"/>
        <v>360</v>
      </c>
      <c r="L394" s="10">
        <f t="shared" si="216"/>
        <v>0</v>
      </c>
      <c r="M394" s="10">
        <f t="shared" si="217"/>
        <v>1282</v>
      </c>
      <c r="N394" s="10">
        <f t="shared" si="218"/>
        <v>0</v>
      </c>
      <c r="O394" s="10">
        <f t="shared" si="219"/>
        <v>0</v>
      </c>
      <c r="P394" s="10">
        <f t="shared" si="220"/>
        <v>0</v>
      </c>
      <c r="Q394" s="10">
        <f t="shared" si="221"/>
        <v>0</v>
      </c>
      <c r="R394" s="10">
        <f t="shared" si="222"/>
        <v>0</v>
      </c>
    </row>
    <row r="395" spans="1:18" x14ac:dyDescent="0.2">
      <c r="A395" s="8">
        <v>12350</v>
      </c>
      <c r="B395" s="77" t="str">
        <f t="shared" si="206"/>
        <v>Cowra</v>
      </c>
      <c r="C395" s="9" t="str">
        <f t="shared" si="207"/>
        <v>NetWaste</v>
      </c>
      <c r="D395" s="45" t="str">
        <f t="shared" si="208"/>
        <v>N</v>
      </c>
      <c r="E395" s="10" t="str">
        <f t="shared" si="209"/>
        <v>CNJO</v>
      </c>
      <c r="F395" s="10">
        <f t="shared" si="210"/>
        <v>12659</v>
      </c>
      <c r="G395" s="10">
        <f t="shared" si="211"/>
        <v>7602</v>
      </c>
      <c r="H395" s="10">
        <f t="shared" si="212"/>
        <v>1.6652196790318337</v>
      </c>
      <c r="I395" s="10">
        <f t="shared" si="213"/>
        <v>2808.8</v>
      </c>
      <c r="J395" s="10">
        <f t="shared" si="214"/>
        <v>4.5</v>
      </c>
      <c r="K395" s="10">
        <f t="shared" si="215"/>
        <v>738</v>
      </c>
      <c r="L395" s="10">
        <f t="shared" si="216"/>
        <v>0</v>
      </c>
      <c r="M395" s="10">
        <f t="shared" si="217"/>
        <v>4719</v>
      </c>
      <c r="N395" s="10">
        <f t="shared" si="218"/>
        <v>4552</v>
      </c>
      <c r="O395" s="10">
        <f t="shared" si="219"/>
        <v>0</v>
      </c>
      <c r="P395" s="10">
        <f t="shared" si="220"/>
        <v>0</v>
      </c>
      <c r="Q395" s="10">
        <f t="shared" si="221"/>
        <v>0</v>
      </c>
      <c r="R395" s="10">
        <f t="shared" si="222"/>
        <v>7602</v>
      </c>
    </row>
    <row r="396" spans="1:18" x14ac:dyDescent="0.2">
      <c r="A396" s="8">
        <v>12390</v>
      </c>
      <c r="B396" s="77" t="str">
        <f t="shared" si="206"/>
        <v>Dubbo Regional</v>
      </c>
      <c r="C396" s="9" t="str">
        <f t="shared" si="207"/>
        <v>NetWaste</v>
      </c>
      <c r="D396" s="45" t="str">
        <f t="shared" si="208"/>
        <v>N</v>
      </c>
      <c r="E396" s="10">
        <f t="shared" si="209"/>
        <v>0</v>
      </c>
      <c r="F396" s="10">
        <f t="shared" si="210"/>
        <v>56558</v>
      </c>
      <c r="G396" s="10">
        <f t="shared" si="211"/>
        <v>20902</v>
      </c>
      <c r="H396" s="10">
        <f t="shared" si="212"/>
        <v>2.7058654674193856</v>
      </c>
      <c r="I396" s="10">
        <f t="shared" si="213"/>
        <v>7534.5</v>
      </c>
      <c r="J396" s="10">
        <f t="shared" si="214"/>
        <v>7.5</v>
      </c>
      <c r="K396" s="10">
        <f t="shared" si="215"/>
        <v>414.17</v>
      </c>
      <c r="L396" s="10">
        <f t="shared" si="216"/>
        <v>0</v>
      </c>
      <c r="M396" s="10">
        <f t="shared" si="217"/>
        <v>20129</v>
      </c>
      <c r="N396" s="10">
        <f t="shared" si="218"/>
        <v>20136</v>
      </c>
      <c r="O396" s="10">
        <f t="shared" si="219"/>
        <v>0</v>
      </c>
      <c r="P396" s="10">
        <f t="shared" si="220"/>
        <v>16546</v>
      </c>
      <c r="Q396" s="10">
        <f t="shared" si="221"/>
        <v>20902</v>
      </c>
      <c r="R396" s="10">
        <f t="shared" si="222"/>
        <v>20902</v>
      </c>
    </row>
    <row r="397" spans="1:18" x14ac:dyDescent="0.2">
      <c r="A397" s="8">
        <v>12900</v>
      </c>
      <c r="B397" s="77" t="str">
        <f t="shared" si="206"/>
        <v>Forbes</v>
      </c>
      <c r="C397" s="9" t="str">
        <f t="shared" si="207"/>
        <v>NetWaste</v>
      </c>
      <c r="D397" s="45" t="str">
        <f t="shared" si="208"/>
        <v>N</v>
      </c>
      <c r="E397" s="10" t="str">
        <f t="shared" si="209"/>
        <v>CNJO</v>
      </c>
      <c r="F397" s="10">
        <f t="shared" si="210"/>
        <v>9300</v>
      </c>
      <c r="G397" s="10">
        <f t="shared" si="211"/>
        <v>4379</v>
      </c>
      <c r="H397" s="10">
        <f t="shared" si="212"/>
        <v>2.1237725508106875</v>
      </c>
      <c r="I397" s="10">
        <f t="shared" si="213"/>
        <v>4710.1000000000004</v>
      </c>
      <c r="J397" s="10">
        <f t="shared" si="214"/>
        <v>2</v>
      </c>
      <c r="K397" s="10">
        <f t="shared" si="215"/>
        <v>585</v>
      </c>
      <c r="L397" s="10">
        <f t="shared" si="216"/>
        <v>0</v>
      </c>
      <c r="M397" s="10">
        <f t="shared" si="217"/>
        <v>2491</v>
      </c>
      <c r="N397" s="10">
        <f t="shared" si="218"/>
        <v>3791</v>
      </c>
      <c r="O397" s="10">
        <f t="shared" si="219"/>
        <v>0</v>
      </c>
      <c r="P397" s="10">
        <f t="shared" si="220"/>
        <v>3416</v>
      </c>
      <c r="Q397" s="10">
        <f t="shared" si="221"/>
        <v>4379</v>
      </c>
      <c r="R397" s="10">
        <f t="shared" si="222"/>
        <v>4379</v>
      </c>
    </row>
    <row r="398" spans="1:18" x14ac:dyDescent="0.2">
      <c r="A398" s="8">
        <v>12950</v>
      </c>
      <c r="B398" s="77" t="str">
        <f t="shared" si="206"/>
        <v>Gilgandra</v>
      </c>
      <c r="C398" s="9" t="str">
        <f t="shared" si="207"/>
        <v>NetWaste</v>
      </c>
      <c r="D398" s="45" t="str">
        <f t="shared" si="208"/>
        <v>N</v>
      </c>
      <c r="E398" s="10" t="str">
        <f t="shared" si="209"/>
        <v>OJO</v>
      </c>
      <c r="F398" s="10">
        <f t="shared" si="210"/>
        <v>4309</v>
      </c>
      <c r="G398" s="10">
        <f t="shared" si="211"/>
        <v>2572</v>
      </c>
      <c r="H398" s="10">
        <f t="shared" si="212"/>
        <v>1.6753499222395023</v>
      </c>
      <c r="I398" s="10">
        <f t="shared" si="213"/>
        <v>4831.5</v>
      </c>
      <c r="J398" s="10">
        <f t="shared" si="214"/>
        <v>0.9</v>
      </c>
      <c r="K398" s="10">
        <f t="shared" si="215"/>
        <v>464</v>
      </c>
      <c r="L398" s="10">
        <f t="shared" si="216"/>
        <v>0</v>
      </c>
      <c r="M398" s="10">
        <f t="shared" si="217"/>
        <v>2173</v>
      </c>
      <c r="N398" s="10">
        <f t="shared" si="218"/>
        <v>2151</v>
      </c>
      <c r="O398" s="10">
        <f t="shared" si="219"/>
        <v>0</v>
      </c>
      <c r="P398" s="10">
        <f t="shared" si="220"/>
        <v>0</v>
      </c>
      <c r="Q398" s="10">
        <f t="shared" si="221"/>
        <v>0</v>
      </c>
      <c r="R398" s="10">
        <f t="shared" si="222"/>
        <v>2572</v>
      </c>
    </row>
    <row r="399" spans="1:18" x14ac:dyDescent="0.2">
      <c r="A399" s="8">
        <v>14600</v>
      </c>
      <c r="B399" s="77" t="str">
        <f t="shared" si="206"/>
        <v>Lachlan</v>
      </c>
      <c r="C399" s="9" t="str">
        <f t="shared" si="207"/>
        <v>NetWaste</v>
      </c>
      <c r="D399" s="45" t="str">
        <f t="shared" si="208"/>
        <v>N</v>
      </c>
      <c r="E399" s="10" t="str">
        <f t="shared" si="209"/>
        <v>CNJO</v>
      </c>
      <c r="F399" s="10">
        <f t="shared" si="210"/>
        <v>6147</v>
      </c>
      <c r="G399" s="10">
        <f t="shared" si="211"/>
        <v>5400</v>
      </c>
      <c r="H399" s="10">
        <f t="shared" si="212"/>
        <v>1.1383333333333334</v>
      </c>
      <c r="I399" s="10">
        <f t="shared" si="213"/>
        <v>14968.3</v>
      </c>
      <c r="J399" s="10">
        <f t="shared" si="214"/>
        <v>0.4</v>
      </c>
      <c r="K399" s="10">
        <f t="shared" si="215"/>
        <v>537</v>
      </c>
      <c r="L399" s="10">
        <f t="shared" si="216"/>
        <v>0</v>
      </c>
      <c r="M399" s="10">
        <f t="shared" si="217"/>
        <v>3050</v>
      </c>
      <c r="N399" s="10">
        <f t="shared" si="218"/>
        <v>3000</v>
      </c>
      <c r="O399" s="10">
        <f t="shared" si="219"/>
        <v>0</v>
      </c>
      <c r="P399" s="10">
        <f t="shared" si="220"/>
        <v>0</v>
      </c>
      <c r="Q399" s="10">
        <f t="shared" si="221"/>
        <v>0</v>
      </c>
      <c r="R399" s="10">
        <f t="shared" si="222"/>
        <v>0</v>
      </c>
    </row>
    <row r="400" spans="1:18" x14ac:dyDescent="0.2">
      <c r="A400" s="8">
        <v>14870</v>
      </c>
      <c r="B400" s="77" t="str">
        <f t="shared" si="206"/>
        <v>Lithgow</v>
      </c>
      <c r="C400" s="9" t="str">
        <f t="shared" si="207"/>
        <v>NetWaste</v>
      </c>
      <c r="D400" s="45" t="str">
        <f t="shared" si="208"/>
        <v>N</v>
      </c>
      <c r="E400" s="10">
        <f t="shared" si="209"/>
        <v>0</v>
      </c>
      <c r="F400" s="10">
        <f t="shared" si="210"/>
        <v>20724</v>
      </c>
      <c r="G400" s="10">
        <f t="shared" si="211"/>
        <v>11670</v>
      </c>
      <c r="H400" s="10">
        <f t="shared" si="212"/>
        <v>1.7758354755784063</v>
      </c>
      <c r="I400" s="10">
        <f t="shared" si="213"/>
        <v>4512.3</v>
      </c>
      <c r="J400" s="10">
        <f t="shared" si="214"/>
        <v>4.5999999999999996</v>
      </c>
      <c r="K400" s="10">
        <f t="shared" si="215"/>
        <v>474</v>
      </c>
      <c r="L400" s="10">
        <f t="shared" si="216"/>
        <v>0</v>
      </c>
      <c r="M400" s="10">
        <f t="shared" si="217"/>
        <v>8397</v>
      </c>
      <c r="N400" s="10">
        <f t="shared" si="218"/>
        <v>8397</v>
      </c>
      <c r="O400" s="10">
        <f t="shared" si="219"/>
        <v>0</v>
      </c>
      <c r="P400" s="10">
        <f t="shared" si="220"/>
        <v>0</v>
      </c>
      <c r="Q400" s="10">
        <f t="shared" si="221"/>
        <v>11670</v>
      </c>
      <c r="R400" s="10">
        <f t="shared" si="222"/>
        <v>11670</v>
      </c>
    </row>
    <row r="401" spans="1:18" x14ac:dyDescent="0.2">
      <c r="A401" s="8">
        <v>15270</v>
      </c>
      <c r="B401" s="77" t="str">
        <f t="shared" si="206"/>
        <v>Mid-Western Regional</v>
      </c>
      <c r="C401" s="9" t="str">
        <f t="shared" si="207"/>
        <v>NetWaste</v>
      </c>
      <c r="D401" s="45" t="str">
        <f t="shared" si="208"/>
        <v>N</v>
      </c>
      <c r="E401" s="10" t="str">
        <f t="shared" si="209"/>
        <v>OJO</v>
      </c>
      <c r="F401" s="10">
        <f t="shared" si="210"/>
        <v>25921</v>
      </c>
      <c r="G401" s="10">
        <f t="shared" si="211"/>
        <v>16004</v>
      </c>
      <c r="H401" s="10">
        <f t="shared" si="212"/>
        <v>1.6196575856035991</v>
      </c>
      <c r="I401" s="10">
        <f t="shared" si="213"/>
        <v>8752.2999999999993</v>
      </c>
      <c r="J401" s="10">
        <f t="shared" si="214"/>
        <v>3</v>
      </c>
      <c r="K401" s="10">
        <f t="shared" si="215"/>
        <v>315</v>
      </c>
      <c r="L401" s="10">
        <f t="shared" si="216"/>
        <v>0</v>
      </c>
      <c r="M401" s="10">
        <f t="shared" si="217"/>
        <v>8399</v>
      </c>
      <c r="N401" s="10">
        <f t="shared" si="218"/>
        <v>16798</v>
      </c>
      <c r="O401" s="10">
        <f t="shared" si="219"/>
        <v>0</v>
      </c>
      <c r="P401" s="10">
        <f t="shared" si="220"/>
        <v>8399</v>
      </c>
      <c r="Q401" s="10">
        <f t="shared" si="221"/>
        <v>0</v>
      </c>
      <c r="R401" s="10">
        <f t="shared" si="222"/>
        <v>16004</v>
      </c>
    </row>
    <row r="402" spans="1:18" x14ac:dyDescent="0.2">
      <c r="A402" s="8">
        <v>15850</v>
      </c>
      <c r="B402" s="77" t="str">
        <f t="shared" si="206"/>
        <v>Narromine</v>
      </c>
      <c r="C402" s="9" t="str">
        <f t="shared" si="207"/>
        <v>NetWaste</v>
      </c>
      <c r="D402" s="45" t="str">
        <f t="shared" si="208"/>
        <v>N</v>
      </c>
      <c r="E402" s="10" t="str">
        <f t="shared" si="209"/>
        <v>OJO</v>
      </c>
      <c r="F402" s="10">
        <f t="shared" si="210"/>
        <v>6443</v>
      </c>
      <c r="G402" s="10">
        <f t="shared" si="211"/>
        <v>3426</v>
      </c>
      <c r="H402" s="10">
        <f t="shared" si="212"/>
        <v>1.8806187974314068</v>
      </c>
      <c r="I402" s="10">
        <f t="shared" si="213"/>
        <v>5261.5</v>
      </c>
      <c r="J402" s="10">
        <f t="shared" si="214"/>
        <v>1.2</v>
      </c>
      <c r="K402" s="10">
        <f t="shared" si="215"/>
        <v>624</v>
      </c>
      <c r="L402" s="10">
        <f t="shared" si="216"/>
        <v>0</v>
      </c>
      <c r="M402" s="10">
        <f t="shared" si="217"/>
        <v>2928</v>
      </c>
      <c r="N402" s="10">
        <f t="shared" si="218"/>
        <v>2380</v>
      </c>
      <c r="O402" s="10">
        <f t="shared" si="219"/>
        <v>0</v>
      </c>
      <c r="P402" s="10">
        <f t="shared" si="220"/>
        <v>2082</v>
      </c>
      <c r="Q402" s="10">
        <f t="shared" si="221"/>
        <v>3426</v>
      </c>
      <c r="R402" s="10">
        <f t="shared" si="222"/>
        <v>0</v>
      </c>
    </row>
    <row r="403" spans="1:18" x14ac:dyDescent="0.2">
      <c r="A403" s="8">
        <v>16100</v>
      </c>
      <c r="B403" s="77" t="str">
        <f t="shared" si="206"/>
        <v>Oberon</v>
      </c>
      <c r="C403" s="9" t="str">
        <f t="shared" si="207"/>
        <v>NetWaste</v>
      </c>
      <c r="D403" s="45" t="str">
        <f t="shared" si="208"/>
        <v>N</v>
      </c>
      <c r="E403" s="10" t="str">
        <f t="shared" si="209"/>
        <v>CNJO</v>
      </c>
      <c r="F403" s="10">
        <f t="shared" si="210"/>
        <v>5600</v>
      </c>
      <c r="G403" s="10">
        <f t="shared" si="211"/>
        <v>3801</v>
      </c>
      <c r="H403" s="10">
        <f t="shared" si="212"/>
        <v>1.4732965009208103</v>
      </c>
      <c r="I403" s="10">
        <f t="shared" si="213"/>
        <v>3625</v>
      </c>
      <c r="J403" s="10">
        <f t="shared" si="214"/>
        <v>1.5</v>
      </c>
      <c r="K403" s="10">
        <f t="shared" si="215"/>
        <v>245.5</v>
      </c>
      <c r="L403" s="10">
        <f t="shared" si="216"/>
        <v>0</v>
      </c>
      <c r="M403" s="10">
        <f t="shared" si="217"/>
        <v>1246</v>
      </c>
      <c r="N403" s="10">
        <f t="shared" si="218"/>
        <v>0</v>
      </c>
      <c r="O403" s="10">
        <f t="shared" si="219"/>
        <v>0</v>
      </c>
      <c r="P403" s="10">
        <f t="shared" si="220"/>
        <v>0</v>
      </c>
      <c r="Q403" s="10">
        <f t="shared" si="221"/>
        <v>3801</v>
      </c>
      <c r="R403" s="10">
        <f t="shared" si="222"/>
        <v>3801</v>
      </c>
    </row>
    <row r="404" spans="1:18" x14ac:dyDescent="0.2">
      <c r="A404" s="8">
        <v>16150</v>
      </c>
      <c r="B404" s="77" t="str">
        <f t="shared" si="206"/>
        <v>Orange</v>
      </c>
      <c r="C404" s="9" t="str">
        <f t="shared" si="207"/>
        <v>NetWaste</v>
      </c>
      <c r="D404" s="45" t="str">
        <f t="shared" si="208"/>
        <v>N</v>
      </c>
      <c r="E404" s="10" t="str">
        <f t="shared" si="209"/>
        <v>CNJO</v>
      </c>
      <c r="F404" s="10">
        <f t="shared" si="210"/>
        <v>44244</v>
      </c>
      <c r="G404" s="10">
        <f t="shared" si="211"/>
        <v>19569</v>
      </c>
      <c r="H404" s="10">
        <f t="shared" si="212"/>
        <v>2.2609228882416068</v>
      </c>
      <c r="I404" s="10">
        <f t="shared" si="213"/>
        <v>284.2</v>
      </c>
      <c r="J404" s="10">
        <f t="shared" si="214"/>
        <v>155.69999999999999</v>
      </c>
      <c r="K404" s="10">
        <f t="shared" si="215"/>
        <v>479.4</v>
      </c>
      <c r="L404" s="10">
        <f t="shared" si="216"/>
        <v>0</v>
      </c>
      <c r="M404" s="10">
        <f t="shared" si="217"/>
        <v>17028</v>
      </c>
      <c r="N404" s="10">
        <f t="shared" si="218"/>
        <v>17023</v>
      </c>
      <c r="O404" s="10">
        <f t="shared" si="219"/>
        <v>0</v>
      </c>
      <c r="P404" s="10">
        <f t="shared" si="220"/>
        <v>17007</v>
      </c>
      <c r="Q404" s="10">
        <f t="shared" si="221"/>
        <v>19569</v>
      </c>
      <c r="R404" s="10">
        <f t="shared" si="222"/>
        <v>19569</v>
      </c>
    </row>
    <row r="405" spans="1:18" x14ac:dyDescent="0.2">
      <c r="A405" s="8">
        <v>16200</v>
      </c>
      <c r="B405" s="77" t="str">
        <f t="shared" si="206"/>
        <v>Parkes</v>
      </c>
      <c r="C405" s="9" t="str">
        <f t="shared" si="207"/>
        <v>NetWaste</v>
      </c>
      <c r="D405" s="45" t="str">
        <f t="shared" si="208"/>
        <v>N</v>
      </c>
      <c r="E405" s="10" t="str">
        <f t="shared" si="209"/>
        <v>CNJO</v>
      </c>
      <c r="F405" s="10">
        <f t="shared" si="210"/>
        <v>14256</v>
      </c>
      <c r="G405" s="10">
        <f t="shared" si="211"/>
        <v>9036</v>
      </c>
      <c r="H405" s="10">
        <f t="shared" si="212"/>
        <v>1.5776892430278884</v>
      </c>
      <c r="I405" s="10">
        <f t="shared" si="213"/>
        <v>5957.6</v>
      </c>
      <c r="J405" s="10">
        <f t="shared" si="214"/>
        <v>2.4</v>
      </c>
      <c r="K405" s="10">
        <f t="shared" si="215"/>
        <v>470</v>
      </c>
      <c r="L405" s="10">
        <f t="shared" si="216"/>
        <v>0</v>
      </c>
      <c r="M405" s="10">
        <f t="shared" si="217"/>
        <v>7835</v>
      </c>
      <c r="N405" s="10">
        <f t="shared" si="218"/>
        <v>7759</v>
      </c>
      <c r="O405" s="10">
        <f t="shared" si="219"/>
        <v>0</v>
      </c>
      <c r="P405" s="10">
        <f t="shared" si="220"/>
        <v>7767</v>
      </c>
      <c r="Q405" s="10">
        <f t="shared" si="221"/>
        <v>9036</v>
      </c>
      <c r="R405" s="10">
        <f t="shared" si="222"/>
        <v>9036</v>
      </c>
    </row>
    <row r="406" spans="1:18" x14ac:dyDescent="0.2">
      <c r="A406" s="8">
        <v>17900</v>
      </c>
      <c r="B406" s="77" t="str">
        <f t="shared" si="206"/>
        <v>Walgett</v>
      </c>
      <c r="C406" s="9" t="str">
        <f t="shared" si="207"/>
        <v>NetWaste</v>
      </c>
      <c r="D406" s="45" t="str">
        <f t="shared" si="208"/>
        <v>N</v>
      </c>
      <c r="E406" s="10" t="str">
        <f t="shared" si="209"/>
        <v>FNWJO</v>
      </c>
      <c r="F406" s="10">
        <f t="shared" si="210"/>
        <v>5519</v>
      </c>
      <c r="G406" s="10">
        <f t="shared" si="211"/>
        <v>5753</v>
      </c>
      <c r="H406" s="10">
        <f t="shared" si="212"/>
        <v>0.95932556926820789</v>
      </c>
      <c r="I406" s="10">
        <f t="shared" si="213"/>
        <v>22308.3</v>
      </c>
      <c r="J406" s="10">
        <f t="shared" si="214"/>
        <v>0.2</v>
      </c>
      <c r="K406" s="10">
        <f t="shared" si="215"/>
        <v>551</v>
      </c>
      <c r="L406" s="10">
        <f t="shared" si="216"/>
        <v>0</v>
      </c>
      <c r="M406" s="10">
        <f t="shared" si="217"/>
        <v>1533</v>
      </c>
      <c r="N406" s="10">
        <f t="shared" si="218"/>
        <v>0</v>
      </c>
      <c r="O406" s="10">
        <f t="shared" si="219"/>
        <v>0</v>
      </c>
      <c r="P406" s="10">
        <f t="shared" si="220"/>
        <v>0</v>
      </c>
      <c r="Q406" s="10">
        <f t="shared" si="221"/>
        <v>0</v>
      </c>
      <c r="R406" s="10">
        <f t="shared" si="222"/>
        <v>5753</v>
      </c>
    </row>
    <row r="407" spans="1:18" x14ac:dyDescent="0.2">
      <c r="A407" s="8">
        <v>17950</v>
      </c>
      <c r="B407" s="77" t="str">
        <f t="shared" si="206"/>
        <v>Warren</v>
      </c>
      <c r="C407" s="9" t="str">
        <f t="shared" si="207"/>
        <v>NetWaste</v>
      </c>
      <c r="D407" s="45" t="str">
        <f t="shared" si="208"/>
        <v>N</v>
      </c>
      <c r="E407" s="10" t="str">
        <f t="shared" si="209"/>
        <v>OJO</v>
      </c>
      <c r="F407" s="10">
        <f t="shared" si="210"/>
        <v>2583</v>
      </c>
      <c r="G407" s="10">
        <f t="shared" si="211"/>
        <v>2058</v>
      </c>
      <c r="H407" s="10">
        <f t="shared" si="212"/>
        <v>1.2551020408163265</v>
      </c>
      <c r="I407" s="10">
        <f t="shared" si="213"/>
        <v>10753.8</v>
      </c>
      <c r="J407" s="10">
        <f t="shared" si="214"/>
        <v>0.2</v>
      </c>
      <c r="K407" s="10">
        <f t="shared" si="215"/>
        <v>0</v>
      </c>
      <c r="L407" s="10">
        <f t="shared" si="216"/>
        <v>0</v>
      </c>
      <c r="M407" s="10">
        <f t="shared" si="217"/>
        <v>950</v>
      </c>
      <c r="N407" s="10">
        <f t="shared" si="218"/>
        <v>0</v>
      </c>
      <c r="O407" s="10">
        <f t="shared" si="219"/>
        <v>0</v>
      </c>
      <c r="P407" s="10">
        <f t="shared" si="220"/>
        <v>0</v>
      </c>
      <c r="Q407" s="10">
        <f t="shared" si="221"/>
        <v>2058</v>
      </c>
      <c r="R407" s="10">
        <f t="shared" si="222"/>
        <v>2058</v>
      </c>
    </row>
    <row r="408" spans="1:18" x14ac:dyDescent="0.2">
      <c r="A408" s="8">
        <v>18020</v>
      </c>
      <c r="B408" s="77" t="str">
        <f t="shared" si="206"/>
        <v>Warrumbungle Shire</v>
      </c>
      <c r="C408" s="9" t="str">
        <f t="shared" si="207"/>
        <v>NetWaste</v>
      </c>
      <c r="D408" s="45" t="str">
        <f t="shared" si="208"/>
        <v>N</v>
      </c>
      <c r="E408" s="10" t="str">
        <f t="shared" si="209"/>
        <v>OJO</v>
      </c>
      <c r="F408" s="10">
        <f t="shared" si="210"/>
        <v>9228</v>
      </c>
      <c r="G408" s="10">
        <f t="shared" si="211"/>
        <v>6063</v>
      </c>
      <c r="H408" s="10">
        <f t="shared" si="212"/>
        <v>1.5220188025729837</v>
      </c>
      <c r="I408" s="10">
        <f t="shared" si="213"/>
        <v>12372.1</v>
      </c>
      <c r="J408" s="10">
        <f t="shared" si="214"/>
        <v>0.7</v>
      </c>
      <c r="K408" s="10">
        <f t="shared" si="215"/>
        <v>407</v>
      </c>
      <c r="L408" s="10">
        <f t="shared" si="216"/>
        <v>0</v>
      </c>
      <c r="M408" s="10">
        <f t="shared" si="217"/>
        <v>3048</v>
      </c>
      <c r="N408" s="10">
        <f t="shared" si="218"/>
        <v>3048</v>
      </c>
      <c r="O408" s="10">
        <f t="shared" si="219"/>
        <v>0</v>
      </c>
      <c r="P408" s="10">
        <f t="shared" si="220"/>
        <v>0</v>
      </c>
      <c r="Q408" s="10">
        <f t="shared" si="221"/>
        <v>0</v>
      </c>
      <c r="R408" s="10">
        <f t="shared" si="222"/>
        <v>0</v>
      </c>
    </row>
    <row r="409" spans="1:18" ht="13.5" thickBot="1" x14ac:dyDescent="0.25">
      <c r="A409" s="8">
        <v>18100</v>
      </c>
      <c r="B409" s="77" t="str">
        <f t="shared" si="206"/>
        <v>Weddin</v>
      </c>
      <c r="C409" s="9" t="str">
        <f t="shared" si="207"/>
        <v>NetWaste</v>
      </c>
      <c r="D409" s="45" t="str">
        <f t="shared" si="208"/>
        <v>N</v>
      </c>
      <c r="E409" s="10" t="str">
        <f t="shared" si="209"/>
        <v>CNJO</v>
      </c>
      <c r="F409" s="10">
        <f t="shared" si="210"/>
        <v>3616</v>
      </c>
      <c r="G409" s="10">
        <f t="shared" si="211"/>
        <v>2612</v>
      </c>
      <c r="H409" s="10">
        <f t="shared" si="212"/>
        <v>1.3843797856049005</v>
      </c>
      <c r="I409" s="10">
        <f t="shared" si="213"/>
        <v>3414.9</v>
      </c>
      <c r="J409" s="10">
        <f t="shared" si="214"/>
        <v>1.1000000000000001</v>
      </c>
      <c r="K409" s="10">
        <f t="shared" si="215"/>
        <v>375</v>
      </c>
      <c r="L409" s="10">
        <f t="shared" si="216"/>
        <v>0</v>
      </c>
      <c r="M409" s="10">
        <f t="shared" si="217"/>
        <v>1266</v>
      </c>
      <c r="N409" s="10">
        <f t="shared" si="218"/>
        <v>1099</v>
      </c>
      <c r="O409" s="10">
        <f t="shared" si="219"/>
        <v>0</v>
      </c>
      <c r="P409" s="10">
        <f t="shared" si="220"/>
        <v>0</v>
      </c>
      <c r="Q409" s="10">
        <f t="shared" si="221"/>
        <v>0</v>
      </c>
      <c r="R409" s="10">
        <f t="shared" si="222"/>
        <v>2612</v>
      </c>
    </row>
    <row r="410" spans="1:18" ht="13.5" thickTop="1" x14ac:dyDescent="0.2">
      <c r="A410" s="11"/>
      <c r="B410" s="11"/>
      <c r="C410" s="11" t="s">
        <v>26</v>
      </c>
      <c r="D410" s="11"/>
      <c r="E410" s="12"/>
      <c r="F410" s="13">
        <f t="shared" ref="F410:R410" si="223">COUNTIF(F385:F409,"&gt;0")</f>
        <v>25</v>
      </c>
      <c r="G410" s="13">
        <f t="shared" si="223"/>
        <v>25</v>
      </c>
      <c r="H410" s="13">
        <f t="shared" si="223"/>
        <v>25</v>
      </c>
      <c r="I410" s="13">
        <f t="shared" si="223"/>
        <v>25</v>
      </c>
      <c r="J410" s="13">
        <f t="shared" si="223"/>
        <v>24</v>
      </c>
      <c r="K410" s="13">
        <f t="shared" si="223"/>
        <v>24</v>
      </c>
      <c r="L410" s="13">
        <f t="shared" si="223"/>
        <v>0</v>
      </c>
      <c r="M410" s="13">
        <f t="shared" si="223"/>
        <v>25</v>
      </c>
      <c r="N410" s="13">
        <f t="shared" si="223"/>
        <v>16</v>
      </c>
      <c r="O410" s="13">
        <f t="shared" si="223"/>
        <v>0</v>
      </c>
      <c r="P410" s="13">
        <f t="shared" si="223"/>
        <v>8</v>
      </c>
      <c r="Q410" s="13">
        <f t="shared" si="223"/>
        <v>11</v>
      </c>
      <c r="R410" s="13">
        <f t="shared" si="223"/>
        <v>20</v>
      </c>
    </row>
    <row r="411" spans="1:18" x14ac:dyDescent="0.2">
      <c r="A411" s="8"/>
      <c r="B411" s="8"/>
      <c r="C411" s="8" t="s">
        <v>27</v>
      </c>
      <c r="D411" s="8"/>
      <c r="E411" s="69"/>
      <c r="F411" s="15">
        <f t="shared" ref="F411:R411" si="224">SUM(F385:F409)</f>
        <v>326759</v>
      </c>
      <c r="G411" s="15">
        <f t="shared" si="224"/>
        <v>174267</v>
      </c>
      <c r="H411" s="93">
        <f>F411/G411</f>
        <v>1.8750480584390619</v>
      </c>
      <c r="I411" s="15">
        <f t="shared" si="224"/>
        <v>307974.09999999998</v>
      </c>
      <c r="J411" s="15">
        <f t="shared" si="224"/>
        <v>309.39999999999992</v>
      </c>
      <c r="K411" s="15">
        <f t="shared" si="224"/>
        <v>10776.67</v>
      </c>
      <c r="L411" s="15">
        <f t="shared" si="224"/>
        <v>0</v>
      </c>
      <c r="M411" s="15">
        <f t="shared" si="224"/>
        <v>125335</v>
      </c>
      <c r="N411" s="15">
        <f t="shared" si="224"/>
        <v>113374</v>
      </c>
      <c r="O411" s="15">
        <f t="shared" si="224"/>
        <v>0</v>
      </c>
      <c r="P411" s="15">
        <f t="shared" si="224"/>
        <v>79264</v>
      </c>
      <c r="Q411" s="15">
        <f t="shared" si="224"/>
        <v>87726</v>
      </c>
      <c r="R411" s="15">
        <f t="shared" si="224"/>
        <v>155518</v>
      </c>
    </row>
    <row r="412" spans="1:18" x14ac:dyDescent="0.2">
      <c r="A412" s="8"/>
      <c r="B412" s="8"/>
      <c r="C412" s="8" t="s">
        <v>28</v>
      </c>
      <c r="D412" s="8"/>
      <c r="E412" s="69"/>
      <c r="F412" s="10">
        <f t="shared" ref="F412:R412" si="225">MIN(F385:F409)</f>
        <v>1411</v>
      </c>
      <c r="G412" s="10">
        <f t="shared" si="225"/>
        <v>734</v>
      </c>
      <c r="H412" s="10">
        <f t="shared" si="225"/>
        <v>0.95932556926820789</v>
      </c>
      <c r="I412" s="10">
        <f t="shared" si="225"/>
        <v>170.1</v>
      </c>
      <c r="J412" s="10">
        <f t="shared" si="225"/>
        <v>0</v>
      </c>
      <c r="K412" s="10">
        <f t="shared" si="225"/>
        <v>0</v>
      </c>
      <c r="L412" s="10">
        <f t="shared" si="225"/>
        <v>0</v>
      </c>
      <c r="M412" s="10">
        <f t="shared" si="225"/>
        <v>461</v>
      </c>
      <c r="N412" s="10">
        <f t="shared" si="225"/>
        <v>0</v>
      </c>
      <c r="O412" s="10">
        <f t="shared" si="225"/>
        <v>0</v>
      </c>
      <c r="P412" s="10">
        <f t="shared" si="225"/>
        <v>0</v>
      </c>
      <c r="Q412" s="10">
        <f t="shared" si="225"/>
        <v>0</v>
      </c>
      <c r="R412" s="10">
        <f t="shared" si="225"/>
        <v>0</v>
      </c>
    </row>
    <row r="413" spans="1:18" x14ac:dyDescent="0.2">
      <c r="A413" s="8"/>
      <c r="B413" s="8"/>
      <c r="C413" s="8" t="s">
        <v>29</v>
      </c>
      <c r="D413" s="8"/>
      <c r="E413" s="69"/>
      <c r="F413" s="10">
        <f t="shared" ref="F413:R413" si="226">MAX(F385:F409)</f>
        <v>56558</v>
      </c>
      <c r="G413" s="10">
        <f t="shared" si="226"/>
        <v>20902</v>
      </c>
      <c r="H413" s="10">
        <f t="shared" si="226"/>
        <v>2.7058654674193856</v>
      </c>
      <c r="I413" s="10">
        <f t="shared" si="226"/>
        <v>53492.2</v>
      </c>
      <c r="J413" s="10">
        <f t="shared" si="226"/>
        <v>155.69999999999999</v>
      </c>
      <c r="K413" s="10">
        <f t="shared" si="226"/>
        <v>738</v>
      </c>
      <c r="L413" s="10">
        <f t="shared" si="226"/>
        <v>0</v>
      </c>
      <c r="M413" s="10">
        <f t="shared" si="226"/>
        <v>20129</v>
      </c>
      <c r="N413" s="10">
        <f t="shared" si="226"/>
        <v>20136</v>
      </c>
      <c r="O413" s="10">
        <f t="shared" si="226"/>
        <v>0</v>
      </c>
      <c r="P413" s="10">
        <f t="shared" si="226"/>
        <v>17007</v>
      </c>
      <c r="Q413" s="10">
        <f t="shared" si="226"/>
        <v>20902</v>
      </c>
      <c r="R413" s="10">
        <f t="shared" si="226"/>
        <v>20902</v>
      </c>
    </row>
    <row r="414" spans="1:18" x14ac:dyDescent="0.2">
      <c r="A414" s="8"/>
      <c r="B414" s="8"/>
      <c r="C414" s="8" t="s">
        <v>30</v>
      </c>
      <c r="D414" s="8"/>
      <c r="E414" s="69"/>
      <c r="F414" s="10">
        <f t="shared" ref="F414:R414" si="227">AVERAGE(F385:F409)</f>
        <v>13070.36</v>
      </c>
      <c r="G414" s="10">
        <f t="shared" si="227"/>
        <v>6970.68</v>
      </c>
      <c r="H414" s="10">
        <f t="shared" si="227"/>
        <v>1.6913783010402661</v>
      </c>
      <c r="I414" s="10">
        <f t="shared" si="227"/>
        <v>12318.964</v>
      </c>
      <c r="J414" s="10">
        <f t="shared" si="227"/>
        <v>12.375999999999998</v>
      </c>
      <c r="K414" s="10">
        <f t="shared" si="227"/>
        <v>431.0668</v>
      </c>
      <c r="L414" s="10">
        <f t="shared" si="227"/>
        <v>0</v>
      </c>
      <c r="M414" s="10">
        <f t="shared" si="227"/>
        <v>5013.3999999999996</v>
      </c>
      <c r="N414" s="10">
        <f t="shared" si="227"/>
        <v>4534.96</v>
      </c>
      <c r="O414" s="10">
        <f t="shared" si="227"/>
        <v>0</v>
      </c>
      <c r="P414" s="10">
        <f t="shared" si="227"/>
        <v>3170.56</v>
      </c>
      <c r="Q414" s="10">
        <f t="shared" si="227"/>
        <v>3509.04</v>
      </c>
      <c r="R414" s="10">
        <f t="shared" si="227"/>
        <v>6220.72</v>
      </c>
    </row>
    <row r="415" spans="1:18" ht="13.5" thickBot="1" x14ac:dyDescent="0.25">
      <c r="A415" s="16"/>
      <c r="B415" s="16"/>
      <c r="C415" s="16" t="s">
        <v>31</v>
      </c>
      <c r="D415" s="16"/>
      <c r="E415" s="69"/>
      <c r="F415" s="18">
        <f t="shared" ref="F415:R415" si="228">MEDIAN(F385:F409)</f>
        <v>6443</v>
      </c>
      <c r="G415" s="18">
        <f t="shared" si="228"/>
        <v>4379</v>
      </c>
      <c r="H415" s="18">
        <f t="shared" si="228"/>
        <v>1.6654028436018957</v>
      </c>
      <c r="I415" s="18">
        <f t="shared" si="228"/>
        <v>6022.3</v>
      </c>
      <c r="J415" s="18">
        <f t="shared" si="228"/>
        <v>1.2</v>
      </c>
      <c r="K415" s="18">
        <f t="shared" si="228"/>
        <v>460</v>
      </c>
      <c r="L415" s="18">
        <f t="shared" si="228"/>
        <v>0</v>
      </c>
      <c r="M415" s="18">
        <f t="shared" si="228"/>
        <v>2687</v>
      </c>
      <c r="N415" s="18">
        <f t="shared" si="228"/>
        <v>2380</v>
      </c>
      <c r="O415" s="18">
        <f t="shared" si="228"/>
        <v>0</v>
      </c>
      <c r="P415" s="18">
        <f t="shared" si="228"/>
        <v>0</v>
      </c>
      <c r="Q415" s="18">
        <f t="shared" si="228"/>
        <v>0</v>
      </c>
      <c r="R415" s="18">
        <f t="shared" si="228"/>
        <v>3801</v>
      </c>
    </row>
    <row r="416" spans="1:18" ht="13.5" thickTop="1" x14ac:dyDescent="0.2">
      <c r="B416"/>
      <c r="C416" s="5"/>
      <c r="D416" s="5"/>
    </row>
    <row r="417" spans="1:18" ht="13.5" thickBot="1" x14ac:dyDescent="0.25">
      <c r="A417" s="25"/>
      <c r="B417" s="25"/>
      <c r="C417" s="27" t="s">
        <v>21</v>
      </c>
      <c r="D417" s="27"/>
    </row>
    <row r="418" spans="1:18" ht="13.5" thickTop="1" x14ac:dyDescent="0.2">
      <c r="A418" s="8">
        <v>10800</v>
      </c>
      <c r="B418" s="77" t="str">
        <f t="shared" ref="B418:B425" si="229">VLOOKUP($A418,$A$5:$K$132,2,FALSE)</f>
        <v>Bland</v>
      </c>
      <c r="C418" s="9" t="str">
        <f t="shared" ref="C418:C425" si="230">VLOOKUP($A418,$A$5:$K$133,3,FALSE)</f>
        <v>REROC</v>
      </c>
      <c r="D418" s="45" t="str">
        <f t="shared" ref="D418:D425" si="231">VLOOKUP($A418,$A$5:$K$133,4,FALSE)</f>
        <v>N</v>
      </c>
      <c r="E418" s="10" t="str">
        <f t="shared" ref="E418:E425" si="232">VLOOKUP($A418,$A$5:$R$132,5,FALSE)</f>
        <v>RJO</v>
      </c>
      <c r="F418" s="10">
        <f t="shared" ref="F418:F425" si="233">VLOOKUP($A418,$A$5:$R$132,6,FALSE)</f>
        <v>5464</v>
      </c>
      <c r="G418" s="10">
        <f t="shared" ref="G418:G425" si="234">VLOOKUP($A418,$A$5:$R$132,7,FALSE)</f>
        <v>4406</v>
      </c>
      <c r="H418" s="10">
        <f t="shared" ref="H418:H425" si="235">VLOOKUP($A418,$A$5:$R$132,8,FALSE)</f>
        <v>1.2401270994098956</v>
      </c>
      <c r="I418" s="10">
        <f t="shared" ref="I418:I425" si="236">VLOOKUP($A418,$A$5:$R$132,9,FALSE)</f>
        <v>8557.7000000000007</v>
      </c>
      <c r="J418" s="10">
        <f t="shared" ref="J418:J425" si="237">VLOOKUP($A418,$A$5:$R$132,10,FALSE)</f>
        <v>0.6</v>
      </c>
      <c r="K418" s="10">
        <f t="shared" ref="K418:K425" si="238">VLOOKUP($A418,$A$5:$R$132,11,FALSE)</f>
        <v>481</v>
      </c>
      <c r="L418" s="10">
        <f t="shared" ref="L418:L425" si="239">VLOOKUP($A418,$A$4:$R$132,12,FALSE)</f>
        <v>0</v>
      </c>
      <c r="M418" s="10">
        <f t="shared" ref="M418:M425" si="240">VLOOKUP($A418,$A$4:$R$132,13,FALSE)</f>
        <v>1982</v>
      </c>
      <c r="N418" s="10">
        <f t="shared" ref="N418:N425" si="241">VLOOKUP($A418,$A$4:$R$132,14,FALSE)</f>
        <v>0</v>
      </c>
      <c r="O418" s="10">
        <f t="shared" ref="O418:O425" si="242">VLOOKUP($A418,$A$4:$R$132,15,FALSE)</f>
        <v>0</v>
      </c>
      <c r="P418" s="10">
        <f t="shared" ref="P418:P425" si="243">VLOOKUP($A418,$A$4:$R$132,16,FALSE)</f>
        <v>0</v>
      </c>
      <c r="Q418" s="10">
        <f t="shared" ref="Q418:Q425" si="244">VLOOKUP($A418,$A$4:$R$132,17,FALSE)</f>
        <v>0</v>
      </c>
      <c r="R418" s="10">
        <f t="shared" ref="R418:R425" si="245">VLOOKUP($A418,$A$4:$R$132,18,FALSE)</f>
        <v>4406</v>
      </c>
    </row>
    <row r="419" spans="1:18" x14ac:dyDescent="0.2">
      <c r="A419" s="8">
        <v>12000</v>
      </c>
      <c r="B419" s="77" t="str">
        <f t="shared" si="229"/>
        <v>Coolamon</v>
      </c>
      <c r="C419" s="9" t="str">
        <f t="shared" si="230"/>
        <v>REROC</v>
      </c>
      <c r="D419" s="45" t="str">
        <f t="shared" si="231"/>
        <v>N</v>
      </c>
      <c r="E419" s="10" t="str">
        <f t="shared" si="232"/>
        <v>RJO</v>
      </c>
      <c r="F419" s="10">
        <f t="shared" si="233"/>
        <v>4549</v>
      </c>
      <c r="G419" s="10">
        <f t="shared" si="234"/>
        <v>1806</v>
      </c>
      <c r="H419" s="10">
        <f t="shared" si="235"/>
        <v>2.518826135105205</v>
      </c>
      <c r="I419" s="10">
        <f t="shared" si="236"/>
        <v>2430.9</v>
      </c>
      <c r="J419" s="10">
        <f t="shared" si="237"/>
        <v>1.9</v>
      </c>
      <c r="K419" s="10">
        <f t="shared" si="238"/>
        <v>220</v>
      </c>
      <c r="L419" s="10">
        <f t="shared" si="239"/>
        <v>0</v>
      </c>
      <c r="M419" s="10">
        <f t="shared" si="240"/>
        <v>1806</v>
      </c>
      <c r="N419" s="10">
        <f t="shared" si="241"/>
        <v>1236</v>
      </c>
      <c r="O419" s="10">
        <f t="shared" si="242"/>
        <v>0</v>
      </c>
      <c r="P419" s="10">
        <f t="shared" si="243"/>
        <v>1236</v>
      </c>
      <c r="Q419" s="10">
        <f t="shared" si="244"/>
        <v>1806</v>
      </c>
      <c r="R419" s="10">
        <f t="shared" si="245"/>
        <v>1806</v>
      </c>
    </row>
    <row r="420" spans="1:18" x14ac:dyDescent="0.2">
      <c r="A420" s="8">
        <v>12160</v>
      </c>
      <c r="B420" s="77" t="str">
        <f t="shared" si="229"/>
        <v>Cootamundra - Gundagai</v>
      </c>
      <c r="C420" s="9" t="str">
        <f t="shared" si="230"/>
        <v>REROC</v>
      </c>
      <c r="D420" s="45" t="str">
        <f t="shared" si="231"/>
        <v>N</v>
      </c>
      <c r="E420" s="10" t="str">
        <f t="shared" si="232"/>
        <v>RJO</v>
      </c>
      <c r="F420" s="10">
        <f t="shared" si="233"/>
        <v>11424</v>
      </c>
      <c r="G420" s="10">
        <f t="shared" si="234"/>
        <v>6808</v>
      </c>
      <c r="H420" s="10">
        <f t="shared" si="235"/>
        <v>1.6780258519388953</v>
      </c>
      <c r="I420" s="10">
        <f t="shared" si="236"/>
        <v>3981.4</v>
      </c>
      <c r="J420" s="10">
        <f t="shared" si="237"/>
        <v>2.9</v>
      </c>
      <c r="K420" s="10">
        <f t="shared" si="238"/>
        <v>588</v>
      </c>
      <c r="L420" s="10">
        <f t="shared" si="239"/>
        <v>0</v>
      </c>
      <c r="M420" s="10">
        <f t="shared" si="240"/>
        <v>3994</v>
      </c>
      <c r="N420" s="10">
        <f t="shared" si="241"/>
        <v>3994</v>
      </c>
      <c r="O420" s="10">
        <f t="shared" si="242"/>
        <v>3043</v>
      </c>
      <c r="P420" s="10">
        <f t="shared" si="243"/>
        <v>951</v>
      </c>
      <c r="Q420" s="10">
        <f t="shared" si="244"/>
        <v>0</v>
      </c>
      <c r="R420" s="10">
        <f t="shared" si="245"/>
        <v>6808</v>
      </c>
    </row>
    <row r="421" spans="1:18" x14ac:dyDescent="0.2">
      <c r="A421" s="8">
        <v>13340</v>
      </c>
      <c r="B421" s="77" t="str">
        <f t="shared" si="229"/>
        <v>Greater Hume Shire</v>
      </c>
      <c r="C421" s="9" t="str">
        <f t="shared" si="230"/>
        <v>REROC</v>
      </c>
      <c r="D421" s="45" t="str">
        <f t="shared" si="231"/>
        <v>N</v>
      </c>
      <c r="E421" s="10" t="str">
        <f t="shared" si="232"/>
        <v>RJO</v>
      </c>
      <c r="F421" s="10">
        <f t="shared" si="233"/>
        <v>11445</v>
      </c>
      <c r="G421" s="10">
        <f t="shared" si="234"/>
        <v>7118</v>
      </c>
      <c r="H421" s="10">
        <f t="shared" si="235"/>
        <v>1.6078954762573756</v>
      </c>
      <c r="I421" s="10">
        <f t="shared" si="236"/>
        <v>5749.4</v>
      </c>
      <c r="J421" s="10">
        <f t="shared" si="237"/>
        <v>2</v>
      </c>
      <c r="K421" s="10">
        <f t="shared" si="238"/>
        <v>264</v>
      </c>
      <c r="L421" s="10">
        <f t="shared" si="239"/>
        <v>0</v>
      </c>
      <c r="M421" s="10">
        <f t="shared" si="240"/>
        <v>3319</v>
      </c>
      <c r="N421" s="10">
        <f t="shared" si="241"/>
        <v>3319</v>
      </c>
      <c r="O421" s="10">
        <f t="shared" si="242"/>
        <v>0</v>
      </c>
      <c r="P421" s="10">
        <f t="shared" si="243"/>
        <v>0</v>
      </c>
      <c r="Q421" s="10">
        <f t="shared" si="244"/>
        <v>0</v>
      </c>
      <c r="R421" s="10">
        <f t="shared" si="245"/>
        <v>7118</v>
      </c>
    </row>
    <row r="422" spans="1:18" x14ac:dyDescent="0.2">
      <c r="A422" s="8">
        <v>14300</v>
      </c>
      <c r="B422" s="77" t="str">
        <f t="shared" si="229"/>
        <v>Junee</v>
      </c>
      <c r="C422" s="9" t="str">
        <f t="shared" si="230"/>
        <v>REROC</v>
      </c>
      <c r="D422" s="45" t="str">
        <f t="shared" si="231"/>
        <v>N</v>
      </c>
      <c r="E422" s="10" t="str">
        <f t="shared" si="232"/>
        <v>RJO</v>
      </c>
      <c r="F422" s="10">
        <f t="shared" si="233"/>
        <v>6520</v>
      </c>
      <c r="G422" s="10">
        <f t="shared" si="234"/>
        <v>3109</v>
      </c>
      <c r="H422" s="10">
        <f t="shared" si="235"/>
        <v>2.0971373431971694</v>
      </c>
      <c r="I422" s="10">
        <f t="shared" si="236"/>
        <v>2030</v>
      </c>
      <c r="J422" s="10">
        <f t="shared" si="237"/>
        <v>3.2</v>
      </c>
      <c r="K422" s="10">
        <f t="shared" si="238"/>
        <v>452</v>
      </c>
      <c r="L422" s="10">
        <f t="shared" si="239"/>
        <v>0</v>
      </c>
      <c r="M422" s="10">
        <f t="shared" si="240"/>
        <v>2410</v>
      </c>
      <c r="N422" s="10">
        <f t="shared" si="241"/>
        <v>2191</v>
      </c>
      <c r="O422" s="10">
        <f t="shared" si="242"/>
        <v>0</v>
      </c>
      <c r="P422" s="10">
        <f t="shared" si="243"/>
        <v>1766</v>
      </c>
      <c r="Q422" s="10">
        <f t="shared" si="244"/>
        <v>0</v>
      </c>
      <c r="R422" s="10">
        <f t="shared" si="245"/>
        <v>3109</v>
      </c>
    </row>
    <row r="423" spans="1:18" x14ac:dyDescent="0.2">
      <c r="A423" s="8">
        <v>14950</v>
      </c>
      <c r="B423" s="77" t="str">
        <f t="shared" si="229"/>
        <v>Lockhart</v>
      </c>
      <c r="C423" s="9" t="str">
        <f t="shared" si="230"/>
        <v>REROC</v>
      </c>
      <c r="D423" s="45" t="str">
        <f t="shared" si="231"/>
        <v>N</v>
      </c>
      <c r="E423" s="10" t="str">
        <f t="shared" si="232"/>
        <v>RJO</v>
      </c>
      <c r="F423" s="10">
        <f t="shared" si="233"/>
        <v>3396</v>
      </c>
      <c r="G423" s="10">
        <f t="shared" si="234"/>
        <v>2680</v>
      </c>
      <c r="H423" s="10">
        <f t="shared" si="235"/>
        <v>1.2671641791044777</v>
      </c>
      <c r="I423" s="10">
        <f t="shared" si="236"/>
        <v>2895.8</v>
      </c>
      <c r="J423" s="10">
        <f t="shared" si="237"/>
        <v>1.2</v>
      </c>
      <c r="K423" s="10">
        <f t="shared" si="238"/>
        <v>408</v>
      </c>
      <c r="L423" s="10">
        <f t="shared" si="239"/>
        <v>0</v>
      </c>
      <c r="M423" s="10">
        <f t="shared" si="240"/>
        <v>2680</v>
      </c>
      <c r="N423" s="10">
        <f t="shared" si="241"/>
        <v>2680</v>
      </c>
      <c r="O423" s="10">
        <f t="shared" si="242"/>
        <v>0</v>
      </c>
      <c r="P423" s="10">
        <f t="shared" si="243"/>
        <v>2680</v>
      </c>
      <c r="Q423" s="10">
        <f t="shared" si="244"/>
        <v>2680</v>
      </c>
      <c r="R423" s="10">
        <f t="shared" si="245"/>
        <v>2680</v>
      </c>
    </row>
    <row r="424" spans="1:18" x14ac:dyDescent="0.2">
      <c r="A424" s="8">
        <v>17350</v>
      </c>
      <c r="B424" s="77" t="str">
        <f t="shared" si="229"/>
        <v>Temora</v>
      </c>
      <c r="C424" s="9" t="str">
        <f t="shared" si="230"/>
        <v>REROC</v>
      </c>
      <c r="D424" s="45" t="str">
        <f t="shared" si="231"/>
        <v>N</v>
      </c>
      <c r="E424" s="10" t="str">
        <f t="shared" si="232"/>
        <v>RJO</v>
      </c>
      <c r="F424" s="10">
        <f t="shared" si="233"/>
        <v>6029</v>
      </c>
      <c r="G424" s="10">
        <f t="shared" si="234"/>
        <v>3900</v>
      </c>
      <c r="H424" s="10">
        <f t="shared" si="235"/>
        <v>1.545897435897436</v>
      </c>
      <c r="I424" s="10">
        <f t="shared" si="236"/>
        <v>2802</v>
      </c>
      <c r="J424" s="10">
        <f t="shared" si="237"/>
        <v>2.2000000000000002</v>
      </c>
      <c r="K424" s="10">
        <f t="shared" si="238"/>
        <v>296</v>
      </c>
      <c r="L424" s="10">
        <f t="shared" si="239"/>
        <v>0</v>
      </c>
      <c r="M424" s="10">
        <f t="shared" si="240"/>
        <v>2506</v>
      </c>
      <c r="N424" s="10">
        <f t="shared" si="241"/>
        <v>0</v>
      </c>
      <c r="O424" s="10">
        <f t="shared" si="242"/>
        <v>0</v>
      </c>
      <c r="P424" s="10">
        <f t="shared" si="243"/>
        <v>0</v>
      </c>
      <c r="Q424" s="10">
        <f t="shared" si="244"/>
        <v>3900</v>
      </c>
      <c r="R424" s="10">
        <f t="shared" si="245"/>
        <v>3900</v>
      </c>
    </row>
    <row r="425" spans="1:18" ht="13.5" thickBot="1" x14ac:dyDescent="0.25">
      <c r="A425" s="8">
        <v>17750</v>
      </c>
      <c r="B425" s="77" t="str">
        <f t="shared" si="229"/>
        <v>Wagga Wagga</v>
      </c>
      <c r="C425" s="9" t="str">
        <f t="shared" si="230"/>
        <v>REROC</v>
      </c>
      <c r="D425" s="45" t="str">
        <f t="shared" si="231"/>
        <v>N</v>
      </c>
      <c r="E425" s="10">
        <f t="shared" si="232"/>
        <v>0</v>
      </c>
      <c r="F425" s="10">
        <f t="shared" si="233"/>
        <v>68716</v>
      </c>
      <c r="G425" s="10">
        <f t="shared" si="234"/>
        <v>26202</v>
      </c>
      <c r="H425" s="10">
        <f t="shared" si="235"/>
        <v>2.6225478971070912</v>
      </c>
      <c r="I425" s="10">
        <f t="shared" si="236"/>
        <v>4824.5</v>
      </c>
      <c r="J425" s="10">
        <f t="shared" si="237"/>
        <v>14.2</v>
      </c>
      <c r="K425" s="10">
        <f t="shared" si="238"/>
        <v>405</v>
      </c>
      <c r="L425" s="10">
        <f t="shared" si="239"/>
        <v>0</v>
      </c>
      <c r="M425" s="10">
        <f t="shared" si="240"/>
        <v>27526</v>
      </c>
      <c r="N425" s="10">
        <f t="shared" si="241"/>
        <v>24724</v>
      </c>
      <c r="O425" s="10">
        <f t="shared" si="242"/>
        <v>0</v>
      </c>
      <c r="P425" s="10">
        <f t="shared" si="243"/>
        <v>26784</v>
      </c>
      <c r="Q425" s="10">
        <f t="shared" si="244"/>
        <v>26202</v>
      </c>
      <c r="R425" s="10">
        <f t="shared" si="245"/>
        <v>26202</v>
      </c>
    </row>
    <row r="426" spans="1:18" ht="13.5" thickTop="1" x14ac:dyDescent="0.2">
      <c r="A426" s="11"/>
      <c r="B426" s="11"/>
      <c r="C426" s="11" t="s">
        <v>26</v>
      </c>
      <c r="D426" s="11"/>
      <c r="E426" s="12"/>
      <c r="F426" s="13">
        <f t="shared" ref="F426:R426" si="246">COUNTIF(F418:F425,"&gt;0")</f>
        <v>8</v>
      </c>
      <c r="G426" s="13">
        <f t="shared" si="246"/>
        <v>8</v>
      </c>
      <c r="H426" s="13">
        <f t="shared" si="246"/>
        <v>8</v>
      </c>
      <c r="I426" s="13">
        <f t="shared" si="246"/>
        <v>8</v>
      </c>
      <c r="J426" s="13">
        <f t="shared" si="246"/>
        <v>8</v>
      </c>
      <c r="K426" s="13">
        <f t="shared" si="246"/>
        <v>8</v>
      </c>
      <c r="L426" s="13">
        <f t="shared" si="246"/>
        <v>0</v>
      </c>
      <c r="M426" s="13">
        <f t="shared" si="246"/>
        <v>8</v>
      </c>
      <c r="N426" s="13">
        <f t="shared" si="246"/>
        <v>6</v>
      </c>
      <c r="O426" s="13">
        <f t="shared" si="246"/>
        <v>1</v>
      </c>
      <c r="P426" s="13">
        <f t="shared" si="246"/>
        <v>5</v>
      </c>
      <c r="Q426" s="13">
        <f t="shared" si="246"/>
        <v>4</v>
      </c>
      <c r="R426" s="13">
        <f t="shared" si="246"/>
        <v>8</v>
      </c>
    </row>
    <row r="427" spans="1:18" x14ac:dyDescent="0.2">
      <c r="A427" s="8"/>
      <c r="B427" s="8"/>
      <c r="C427" s="8" t="s">
        <v>27</v>
      </c>
      <c r="D427" s="8"/>
      <c r="E427" s="69"/>
      <c r="F427" s="15">
        <f t="shared" ref="F427:R427" si="247">SUM(F418:F425)</f>
        <v>117543</v>
      </c>
      <c r="G427" s="15">
        <f t="shared" si="247"/>
        <v>56029</v>
      </c>
      <c r="H427" s="93">
        <f>F427/G427</f>
        <v>2.0978957325670633</v>
      </c>
      <c r="I427" s="15">
        <f t="shared" si="247"/>
        <v>33271.699999999997</v>
      </c>
      <c r="J427" s="15">
        <f t="shared" si="247"/>
        <v>28.2</v>
      </c>
      <c r="K427" s="15">
        <f t="shared" si="247"/>
        <v>3114</v>
      </c>
      <c r="L427" s="15">
        <f t="shared" si="247"/>
        <v>0</v>
      </c>
      <c r="M427" s="15">
        <f t="shared" si="247"/>
        <v>46223</v>
      </c>
      <c r="N427" s="15">
        <f t="shared" si="247"/>
        <v>38144</v>
      </c>
      <c r="O427" s="15">
        <f t="shared" si="247"/>
        <v>3043</v>
      </c>
      <c r="P427" s="15">
        <f t="shared" si="247"/>
        <v>33417</v>
      </c>
      <c r="Q427" s="15">
        <f t="shared" si="247"/>
        <v>34588</v>
      </c>
      <c r="R427" s="15">
        <f t="shared" si="247"/>
        <v>56029</v>
      </c>
    </row>
    <row r="428" spans="1:18" x14ac:dyDescent="0.2">
      <c r="A428" s="8"/>
      <c r="B428" s="8"/>
      <c r="C428" s="8" t="s">
        <v>28</v>
      </c>
      <c r="D428" s="8"/>
      <c r="E428" s="69"/>
      <c r="F428" s="10">
        <f t="shared" ref="F428:R428" si="248">MIN(F418:F425)</f>
        <v>3396</v>
      </c>
      <c r="G428" s="10">
        <f t="shared" si="248"/>
        <v>1806</v>
      </c>
      <c r="H428" s="10">
        <f t="shared" si="248"/>
        <v>1.2401270994098956</v>
      </c>
      <c r="I428" s="10">
        <f t="shared" si="248"/>
        <v>2030</v>
      </c>
      <c r="J428" s="10">
        <f t="shared" si="248"/>
        <v>0.6</v>
      </c>
      <c r="K428" s="10">
        <f t="shared" si="248"/>
        <v>220</v>
      </c>
      <c r="L428" s="10">
        <f t="shared" si="248"/>
        <v>0</v>
      </c>
      <c r="M428" s="10">
        <f t="shared" si="248"/>
        <v>1806</v>
      </c>
      <c r="N428" s="10">
        <f t="shared" si="248"/>
        <v>0</v>
      </c>
      <c r="O428" s="10">
        <f t="shared" si="248"/>
        <v>0</v>
      </c>
      <c r="P428" s="10">
        <f t="shared" si="248"/>
        <v>0</v>
      </c>
      <c r="Q428" s="10">
        <f t="shared" si="248"/>
        <v>0</v>
      </c>
      <c r="R428" s="10">
        <f t="shared" si="248"/>
        <v>1806</v>
      </c>
    </row>
    <row r="429" spans="1:18" x14ac:dyDescent="0.2">
      <c r="A429" s="8"/>
      <c r="B429" s="8"/>
      <c r="C429" s="8" t="s">
        <v>29</v>
      </c>
      <c r="D429" s="8"/>
      <c r="E429" s="69"/>
      <c r="F429" s="10">
        <f t="shared" ref="F429:R429" si="249">MAX(F418:F425)</f>
        <v>68716</v>
      </c>
      <c r="G429" s="10">
        <f t="shared" si="249"/>
        <v>26202</v>
      </c>
      <c r="H429" s="10">
        <f t="shared" si="249"/>
        <v>2.6225478971070912</v>
      </c>
      <c r="I429" s="10">
        <f t="shared" si="249"/>
        <v>8557.7000000000007</v>
      </c>
      <c r="J429" s="10">
        <f t="shared" si="249"/>
        <v>14.2</v>
      </c>
      <c r="K429" s="10">
        <f t="shared" si="249"/>
        <v>588</v>
      </c>
      <c r="L429" s="10">
        <f t="shared" si="249"/>
        <v>0</v>
      </c>
      <c r="M429" s="10">
        <f t="shared" si="249"/>
        <v>27526</v>
      </c>
      <c r="N429" s="10">
        <f t="shared" si="249"/>
        <v>24724</v>
      </c>
      <c r="O429" s="10">
        <f t="shared" si="249"/>
        <v>3043</v>
      </c>
      <c r="P429" s="10">
        <f t="shared" si="249"/>
        <v>26784</v>
      </c>
      <c r="Q429" s="10">
        <f t="shared" si="249"/>
        <v>26202</v>
      </c>
      <c r="R429" s="10">
        <f t="shared" si="249"/>
        <v>26202</v>
      </c>
    </row>
    <row r="430" spans="1:18" x14ac:dyDescent="0.2">
      <c r="A430" s="8"/>
      <c r="B430" s="8"/>
      <c r="C430" s="8" t="s">
        <v>30</v>
      </c>
      <c r="D430" s="8"/>
      <c r="E430" s="69"/>
      <c r="F430" s="10">
        <f t="shared" ref="F430:R430" si="250">AVERAGE(F418:F425)</f>
        <v>14692.875</v>
      </c>
      <c r="G430" s="10">
        <f t="shared" si="250"/>
        <v>7003.625</v>
      </c>
      <c r="H430" s="10">
        <f t="shared" si="250"/>
        <v>1.8222026772521933</v>
      </c>
      <c r="I430" s="10">
        <f t="shared" si="250"/>
        <v>4158.9624999999996</v>
      </c>
      <c r="J430" s="10">
        <f t="shared" si="250"/>
        <v>3.5249999999999999</v>
      </c>
      <c r="K430" s="10">
        <f t="shared" si="250"/>
        <v>389.25</v>
      </c>
      <c r="L430" s="10">
        <f t="shared" si="250"/>
        <v>0</v>
      </c>
      <c r="M430" s="10">
        <f t="shared" si="250"/>
        <v>5777.875</v>
      </c>
      <c r="N430" s="10">
        <f t="shared" si="250"/>
        <v>4768</v>
      </c>
      <c r="O430" s="10">
        <f t="shared" si="250"/>
        <v>380.375</v>
      </c>
      <c r="P430" s="10">
        <f t="shared" si="250"/>
        <v>4177.125</v>
      </c>
      <c r="Q430" s="10">
        <f t="shared" si="250"/>
        <v>4323.5</v>
      </c>
      <c r="R430" s="10">
        <f t="shared" si="250"/>
        <v>7003.625</v>
      </c>
    </row>
    <row r="431" spans="1:18" ht="13.5" thickBot="1" x14ac:dyDescent="0.25">
      <c r="A431" s="16"/>
      <c r="B431" s="16"/>
      <c r="C431" s="16" t="s">
        <v>31</v>
      </c>
      <c r="D431" s="16"/>
      <c r="E431" s="69"/>
      <c r="F431" s="18">
        <f t="shared" ref="F431:R431" si="251">MEDIAN(F418:F425)</f>
        <v>6274.5</v>
      </c>
      <c r="G431" s="18">
        <f t="shared" si="251"/>
        <v>4153</v>
      </c>
      <c r="H431" s="18">
        <f t="shared" si="251"/>
        <v>1.6429606640981356</v>
      </c>
      <c r="I431" s="18">
        <f t="shared" si="251"/>
        <v>3438.6000000000004</v>
      </c>
      <c r="J431" s="18">
        <f t="shared" si="251"/>
        <v>2.1</v>
      </c>
      <c r="K431" s="18">
        <f t="shared" si="251"/>
        <v>406.5</v>
      </c>
      <c r="L431" s="18">
        <f t="shared" si="251"/>
        <v>0</v>
      </c>
      <c r="M431" s="18">
        <f t="shared" si="251"/>
        <v>2593</v>
      </c>
      <c r="N431" s="18">
        <f t="shared" si="251"/>
        <v>2435.5</v>
      </c>
      <c r="O431" s="18">
        <f t="shared" si="251"/>
        <v>0</v>
      </c>
      <c r="P431" s="18">
        <f t="shared" si="251"/>
        <v>1093.5</v>
      </c>
      <c r="Q431" s="18">
        <f t="shared" si="251"/>
        <v>903</v>
      </c>
      <c r="R431" s="18">
        <f t="shared" si="251"/>
        <v>4153</v>
      </c>
    </row>
    <row r="432" spans="1:18" ht="13.5" thickTop="1" x14ac:dyDescent="0.2"/>
    <row r="433" spans="1:18" ht="13.5" thickBot="1" x14ac:dyDescent="0.25">
      <c r="A433" s="25"/>
      <c r="B433" s="25"/>
      <c r="C433" s="27" t="s">
        <v>22</v>
      </c>
      <c r="D433" s="27"/>
    </row>
    <row r="434" spans="1:18" ht="13.5" thickTop="1" x14ac:dyDescent="0.2">
      <c r="A434" s="8">
        <v>11600</v>
      </c>
      <c r="B434" s="77" t="str">
        <f t="shared" ref="B434:B439" si="252">VLOOKUP($A434,$A$5:$K$132,2,FALSE)</f>
        <v>Carrathool</v>
      </c>
      <c r="C434" s="9" t="str">
        <f t="shared" ref="C434:C439" si="253">VLOOKUP($A434,$A$5:$K$133,3,FALSE)</f>
        <v>RAMJO Riverina</v>
      </c>
      <c r="D434" s="45" t="str">
        <f t="shared" ref="D434:D439" si="254">VLOOKUP($A434,$A$5:$K$133,4,FALSE)</f>
        <v>N</v>
      </c>
      <c r="E434" s="10" t="str">
        <f t="shared" ref="E434:E439" si="255">VLOOKUP($A434,$A$5:$R$132,5,FALSE)</f>
        <v>RMJO</v>
      </c>
      <c r="F434" s="10">
        <f t="shared" ref="F434:F439" si="256">VLOOKUP($A434,$A$5:$R$132,6,FALSE)</f>
        <v>2765</v>
      </c>
      <c r="G434" s="10">
        <f t="shared" ref="G434:G439" si="257">VLOOKUP($A434,$A$5:$R$132,7,FALSE)</f>
        <v>1371</v>
      </c>
      <c r="H434" s="10">
        <f t="shared" ref="H434:H439" si="258">VLOOKUP($A434,$A$5:$R$132,8,FALSE)</f>
        <v>2.0167760758570386</v>
      </c>
      <c r="I434" s="10">
        <f t="shared" ref="I434:I439" si="259">VLOOKUP($A434,$A$5:$R$132,9,FALSE)</f>
        <v>18934.5</v>
      </c>
      <c r="J434" s="10">
        <f t="shared" ref="J434:J439" si="260">VLOOKUP($A434,$A$5:$R$132,10,FALSE)</f>
        <v>0.1</v>
      </c>
      <c r="K434" s="10">
        <f t="shared" ref="K434:K439" si="261">VLOOKUP($A434,$A$5:$R$132,11,FALSE)</f>
        <v>203</v>
      </c>
      <c r="L434" s="10">
        <f t="shared" ref="L434:L439" si="262">VLOOKUP($A434,$A$4:$R$132,12,FALSE)</f>
        <v>0</v>
      </c>
      <c r="M434" s="10">
        <f t="shared" ref="M434:M439" si="263">VLOOKUP($A434,$A$4:$R$132,13,FALSE)</f>
        <v>603</v>
      </c>
      <c r="N434" s="10">
        <f t="shared" ref="N434:N439" si="264">VLOOKUP($A434,$A$4:$R$132,14,FALSE)</f>
        <v>0</v>
      </c>
      <c r="O434" s="10">
        <f t="shared" ref="O434:O439" si="265">VLOOKUP($A434,$A$4:$R$132,15,FALSE)</f>
        <v>0</v>
      </c>
      <c r="P434" s="10">
        <f t="shared" ref="P434:P439" si="266">VLOOKUP($A434,$A$4:$R$132,16,FALSE)</f>
        <v>0</v>
      </c>
      <c r="Q434" s="10">
        <f t="shared" ref="Q434:Q439" si="267">VLOOKUP($A434,$A$4:$R$132,17,FALSE)</f>
        <v>0</v>
      </c>
      <c r="R434" s="10">
        <f t="shared" ref="R434:R439" si="268">VLOOKUP($A434,$A$4:$R$132,18,FALSE)</f>
        <v>0</v>
      </c>
    </row>
    <row r="435" spans="1:18" x14ac:dyDescent="0.2">
      <c r="A435" s="8">
        <v>13450</v>
      </c>
      <c r="B435" s="77" t="str">
        <f t="shared" si="252"/>
        <v>Griffith</v>
      </c>
      <c r="C435" s="9" t="str">
        <f t="shared" si="253"/>
        <v>RAMJO Riverina</v>
      </c>
      <c r="D435" s="45" t="str">
        <f t="shared" si="254"/>
        <v>N</v>
      </c>
      <c r="E435" s="10" t="str">
        <f t="shared" si="255"/>
        <v>RMJO</v>
      </c>
      <c r="F435" s="10">
        <f t="shared" si="256"/>
        <v>27132</v>
      </c>
      <c r="G435" s="10">
        <f t="shared" si="257"/>
        <v>11711</v>
      </c>
      <c r="H435" s="10">
        <f t="shared" si="258"/>
        <v>2.3167961745367602</v>
      </c>
      <c r="I435" s="10">
        <f t="shared" si="259"/>
        <v>1639.2</v>
      </c>
      <c r="J435" s="10">
        <f t="shared" si="260"/>
        <v>16.600000000000001</v>
      </c>
      <c r="K435" s="10">
        <f t="shared" si="261"/>
        <v>341</v>
      </c>
      <c r="L435" s="10">
        <f t="shared" si="262"/>
        <v>0</v>
      </c>
      <c r="M435" s="10">
        <f t="shared" si="263"/>
        <v>8738</v>
      </c>
      <c r="N435" s="10">
        <f t="shared" si="264"/>
        <v>8738</v>
      </c>
      <c r="O435" s="10">
        <f t="shared" si="265"/>
        <v>0</v>
      </c>
      <c r="P435" s="10">
        <f t="shared" si="266"/>
        <v>0</v>
      </c>
      <c r="Q435" s="10">
        <f t="shared" si="267"/>
        <v>0</v>
      </c>
      <c r="R435" s="10">
        <f t="shared" si="268"/>
        <v>11711</v>
      </c>
    </row>
    <row r="436" spans="1:18" x14ac:dyDescent="0.2">
      <c r="A436" s="8">
        <v>13850</v>
      </c>
      <c r="B436" s="77" t="str">
        <f t="shared" si="252"/>
        <v>Hay</v>
      </c>
      <c r="C436" s="9" t="str">
        <f t="shared" si="253"/>
        <v>RAMJO Riverina</v>
      </c>
      <c r="D436" s="45" t="str">
        <f t="shared" si="254"/>
        <v>N</v>
      </c>
      <c r="E436" s="10" t="str">
        <f t="shared" si="255"/>
        <v>RMJO</v>
      </c>
      <c r="F436" s="10">
        <f t="shared" si="256"/>
        <v>2830</v>
      </c>
      <c r="G436" s="10">
        <f t="shared" si="257"/>
        <v>1799</v>
      </c>
      <c r="H436" s="10">
        <f t="shared" si="258"/>
        <v>1.5730961645358532</v>
      </c>
      <c r="I436" s="10">
        <f t="shared" si="259"/>
        <v>11325.9</v>
      </c>
      <c r="J436" s="10">
        <f t="shared" si="260"/>
        <v>0.2</v>
      </c>
      <c r="K436" s="10">
        <f t="shared" si="261"/>
        <v>348</v>
      </c>
      <c r="L436" s="10">
        <f t="shared" si="262"/>
        <v>0</v>
      </c>
      <c r="M436" s="10">
        <f t="shared" si="263"/>
        <v>1325</v>
      </c>
      <c r="N436" s="10">
        <f t="shared" si="264"/>
        <v>0</v>
      </c>
      <c r="O436" s="10">
        <f t="shared" si="265"/>
        <v>0</v>
      </c>
      <c r="P436" s="10">
        <f t="shared" si="266"/>
        <v>0</v>
      </c>
      <c r="Q436" s="10">
        <f t="shared" si="267"/>
        <v>0</v>
      </c>
      <c r="R436" s="10">
        <f t="shared" si="268"/>
        <v>1799</v>
      </c>
    </row>
    <row r="437" spans="1:18" x14ac:dyDescent="0.2">
      <c r="A437" s="8">
        <v>14750</v>
      </c>
      <c r="B437" s="77" t="str">
        <f t="shared" si="252"/>
        <v>Leeton</v>
      </c>
      <c r="C437" s="9" t="str">
        <f t="shared" si="253"/>
        <v>RAMJO Riverina</v>
      </c>
      <c r="D437" s="45" t="str">
        <f t="shared" si="254"/>
        <v>N</v>
      </c>
      <c r="E437" s="10" t="str">
        <f t="shared" si="255"/>
        <v>RMJO</v>
      </c>
      <c r="F437" s="10">
        <f t="shared" si="256"/>
        <v>11431</v>
      </c>
      <c r="G437" s="10">
        <f t="shared" si="257"/>
        <v>5547</v>
      </c>
      <c r="H437" s="10">
        <f t="shared" si="258"/>
        <v>2.060753560483144</v>
      </c>
      <c r="I437" s="10">
        <f t="shared" si="259"/>
        <v>1167.2</v>
      </c>
      <c r="J437" s="10">
        <f t="shared" si="260"/>
        <v>9.8000000000000007</v>
      </c>
      <c r="K437" s="10">
        <f t="shared" si="261"/>
        <v>330</v>
      </c>
      <c r="L437" s="10">
        <f t="shared" si="262"/>
        <v>0</v>
      </c>
      <c r="M437" s="10">
        <f t="shared" si="263"/>
        <v>4313</v>
      </c>
      <c r="N437" s="10">
        <f t="shared" si="264"/>
        <v>3958</v>
      </c>
      <c r="O437" s="10">
        <f t="shared" si="265"/>
        <v>0</v>
      </c>
      <c r="P437" s="10">
        <f t="shared" si="266"/>
        <v>0</v>
      </c>
      <c r="Q437" s="10">
        <f t="shared" si="267"/>
        <v>0</v>
      </c>
      <c r="R437" s="10">
        <f t="shared" si="268"/>
        <v>5547</v>
      </c>
    </row>
    <row r="438" spans="1:18" x14ac:dyDescent="0.2">
      <c r="A438" s="8">
        <v>15560</v>
      </c>
      <c r="B438" s="77" t="str">
        <f t="shared" si="252"/>
        <v>Murrumbidgee</v>
      </c>
      <c r="C438" s="9" t="str">
        <f t="shared" si="253"/>
        <v>RAMJO Riverina</v>
      </c>
      <c r="D438" s="45" t="str">
        <f t="shared" si="254"/>
        <v>N</v>
      </c>
      <c r="E438" s="10" t="str">
        <f t="shared" si="255"/>
        <v>RMJO</v>
      </c>
      <c r="F438" s="10">
        <f t="shared" si="256"/>
        <v>3607</v>
      </c>
      <c r="G438" s="10">
        <f t="shared" si="257"/>
        <v>2415</v>
      </c>
      <c r="H438" s="10">
        <f t="shared" si="258"/>
        <v>1.4935817805383023</v>
      </c>
      <c r="I438" s="10">
        <f t="shared" si="259"/>
        <v>6880.8</v>
      </c>
      <c r="J438" s="10">
        <f t="shared" si="260"/>
        <v>0.5</v>
      </c>
      <c r="K438" s="10">
        <f t="shared" si="261"/>
        <v>0</v>
      </c>
      <c r="L438" s="10">
        <f t="shared" si="262"/>
        <v>0</v>
      </c>
      <c r="M438" s="10">
        <f t="shared" si="263"/>
        <v>1221</v>
      </c>
      <c r="N438" s="10">
        <f t="shared" si="264"/>
        <v>800</v>
      </c>
      <c r="O438" s="10">
        <f t="shared" si="265"/>
        <v>0</v>
      </c>
      <c r="P438" s="10">
        <f t="shared" si="266"/>
        <v>0</v>
      </c>
      <c r="Q438" s="10">
        <f t="shared" si="267"/>
        <v>2415</v>
      </c>
      <c r="R438" s="10">
        <f t="shared" si="268"/>
        <v>2415</v>
      </c>
    </row>
    <row r="439" spans="1:18" ht="13.5" thickBot="1" x14ac:dyDescent="0.25">
      <c r="A439" s="8">
        <v>15800</v>
      </c>
      <c r="B439" s="77" t="str">
        <f t="shared" si="252"/>
        <v>Narrandera</v>
      </c>
      <c r="C439" s="9" t="str">
        <f t="shared" si="253"/>
        <v>RAMJO Riverina</v>
      </c>
      <c r="D439" s="45" t="str">
        <f t="shared" si="254"/>
        <v>N</v>
      </c>
      <c r="E439" s="10" t="str">
        <f t="shared" si="255"/>
        <v>RMJO</v>
      </c>
      <c r="F439" s="10">
        <f t="shared" si="256"/>
        <v>5692</v>
      </c>
      <c r="G439" s="10">
        <f t="shared" si="257"/>
        <v>2133</v>
      </c>
      <c r="H439" s="10">
        <f t="shared" si="258"/>
        <v>2.6685419596812001</v>
      </c>
      <c r="I439" s="10">
        <f t="shared" si="259"/>
        <v>4116.3</v>
      </c>
      <c r="J439" s="10">
        <f t="shared" si="260"/>
        <v>1.4</v>
      </c>
      <c r="K439" s="10">
        <f t="shared" si="261"/>
        <v>224</v>
      </c>
      <c r="L439" s="10">
        <f t="shared" si="262"/>
        <v>0</v>
      </c>
      <c r="M439" s="10">
        <f t="shared" si="263"/>
        <v>2424</v>
      </c>
      <c r="N439" s="10">
        <f t="shared" si="264"/>
        <v>2156</v>
      </c>
      <c r="O439" s="10">
        <f t="shared" si="265"/>
        <v>0</v>
      </c>
      <c r="P439" s="10">
        <f t="shared" si="266"/>
        <v>0</v>
      </c>
      <c r="Q439" s="10">
        <f t="shared" si="267"/>
        <v>2133</v>
      </c>
      <c r="R439" s="10">
        <f t="shared" si="268"/>
        <v>2133</v>
      </c>
    </row>
    <row r="440" spans="1:18" ht="13.5" thickTop="1" x14ac:dyDescent="0.2">
      <c r="A440" s="11"/>
      <c r="B440" s="11"/>
      <c r="C440" s="11" t="s">
        <v>26</v>
      </c>
      <c r="D440" s="11"/>
      <c r="E440" s="12"/>
      <c r="F440" s="13">
        <f t="shared" ref="F440:R440" si="269">COUNTIF(F434:F439,"&gt;0")</f>
        <v>6</v>
      </c>
      <c r="G440" s="13">
        <f t="shared" si="269"/>
        <v>6</v>
      </c>
      <c r="H440" s="13">
        <f t="shared" si="269"/>
        <v>6</v>
      </c>
      <c r="I440" s="13">
        <f t="shared" si="269"/>
        <v>6</v>
      </c>
      <c r="J440" s="13">
        <f t="shared" si="269"/>
        <v>6</v>
      </c>
      <c r="K440" s="13">
        <f t="shared" si="269"/>
        <v>5</v>
      </c>
      <c r="L440" s="13">
        <f t="shared" si="269"/>
        <v>0</v>
      </c>
      <c r="M440" s="13">
        <f t="shared" si="269"/>
        <v>6</v>
      </c>
      <c r="N440" s="13">
        <f t="shared" si="269"/>
        <v>4</v>
      </c>
      <c r="O440" s="13">
        <f t="shared" si="269"/>
        <v>0</v>
      </c>
      <c r="P440" s="13">
        <f t="shared" si="269"/>
        <v>0</v>
      </c>
      <c r="Q440" s="13">
        <f t="shared" si="269"/>
        <v>2</v>
      </c>
      <c r="R440" s="13">
        <f t="shared" si="269"/>
        <v>5</v>
      </c>
    </row>
    <row r="441" spans="1:18" x14ac:dyDescent="0.2">
      <c r="A441" s="8"/>
      <c r="B441" s="8"/>
      <c r="C441" s="8" t="s">
        <v>27</v>
      </c>
      <c r="D441" s="8"/>
      <c r="E441" s="69"/>
      <c r="F441" s="15">
        <f>SUM(F434:F439)</f>
        <v>53457</v>
      </c>
      <c r="G441" s="15">
        <f>SUM(G434:G439)</f>
        <v>24976</v>
      </c>
      <c r="H441" s="93">
        <f>F441/G441</f>
        <v>2.1403347213324793</v>
      </c>
      <c r="I441" s="15">
        <f t="shared" ref="I441:R441" si="270">SUM(I434:I439)</f>
        <v>44063.9</v>
      </c>
      <c r="J441" s="15">
        <f t="shared" si="270"/>
        <v>28.6</v>
      </c>
      <c r="K441" s="15">
        <f t="shared" si="270"/>
        <v>1446</v>
      </c>
      <c r="L441" s="15">
        <f t="shared" si="270"/>
        <v>0</v>
      </c>
      <c r="M441" s="15">
        <f t="shared" si="270"/>
        <v>18624</v>
      </c>
      <c r="N441" s="15">
        <f t="shared" si="270"/>
        <v>15652</v>
      </c>
      <c r="O441" s="15">
        <f t="shared" si="270"/>
        <v>0</v>
      </c>
      <c r="P441" s="15">
        <f t="shared" si="270"/>
        <v>0</v>
      </c>
      <c r="Q441" s="15">
        <f t="shared" si="270"/>
        <v>4548</v>
      </c>
      <c r="R441" s="15">
        <f t="shared" si="270"/>
        <v>23605</v>
      </c>
    </row>
    <row r="442" spans="1:18" x14ac:dyDescent="0.2">
      <c r="A442" s="8"/>
      <c r="B442" s="8"/>
      <c r="C442" s="8" t="s">
        <v>28</v>
      </c>
      <c r="D442" s="8"/>
      <c r="E442" s="69"/>
      <c r="F442" s="10">
        <f t="shared" ref="F442:R442" si="271">MIN(F434:F439)</f>
        <v>2765</v>
      </c>
      <c r="G442" s="10">
        <f t="shared" si="271"/>
        <v>1371</v>
      </c>
      <c r="H442" s="10">
        <f t="shared" si="271"/>
        <v>1.4935817805383023</v>
      </c>
      <c r="I442" s="10">
        <f t="shared" si="271"/>
        <v>1167.2</v>
      </c>
      <c r="J442" s="10">
        <f t="shared" si="271"/>
        <v>0.1</v>
      </c>
      <c r="K442" s="10">
        <f t="shared" si="271"/>
        <v>0</v>
      </c>
      <c r="L442" s="10">
        <f t="shared" si="271"/>
        <v>0</v>
      </c>
      <c r="M442" s="10">
        <f t="shared" si="271"/>
        <v>603</v>
      </c>
      <c r="N442" s="10">
        <f t="shared" si="271"/>
        <v>0</v>
      </c>
      <c r="O442" s="10">
        <f t="shared" si="271"/>
        <v>0</v>
      </c>
      <c r="P442" s="10">
        <f t="shared" si="271"/>
        <v>0</v>
      </c>
      <c r="Q442" s="10">
        <f t="shared" si="271"/>
        <v>0</v>
      </c>
      <c r="R442" s="10">
        <f t="shared" si="271"/>
        <v>0</v>
      </c>
    </row>
    <row r="443" spans="1:18" x14ac:dyDescent="0.2">
      <c r="A443" s="8"/>
      <c r="B443" s="8"/>
      <c r="C443" s="8" t="s">
        <v>29</v>
      </c>
      <c r="D443" s="8"/>
      <c r="E443" s="69"/>
      <c r="F443" s="10">
        <f t="shared" ref="F443:R443" si="272">MAX(F434:F439)</f>
        <v>27132</v>
      </c>
      <c r="G443" s="10">
        <f t="shared" si="272"/>
        <v>11711</v>
      </c>
      <c r="H443" s="10">
        <f t="shared" si="272"/>
        <v>2.6685419596812001</v>
      </c>
      <c r="I443" s="10">
        <f t="shared" si="272"/>
        <v>18934.5</v>
      </c>
      <c r="J443" s="10">
        <f t="shared" si="272"/>
        <v>16.600000000000001</v>
      </c>
      <c r="K443" s="10">
        <f t="shared" si="272"/>
        <v>348</v>
      </c>
      <c r="L443" s="10">
        <f t="shared" si="272"/>
        <v>0</v>
      </c>
      <c r="M443" s="10">
        <f t="shared" si="272"/>
        <v>8738</v>
      </c>
      <c r="N443" s="10">
        <f t="shared" si="272"/>
        <v>8738</v>
      </c>
      <c r="O443" s="10">
        <f t="shared" si="272"/>
        <v>0</v>
      </c>
      <c r="P443" s="10">
        <f t="shared" si="272"/>
        <v>0</v>
      </c>
      <c r="Q443" s="10">
        <f t="shared" si="272"/>
        <v>2415</v>
      </c>
      <c r="R443" s="10">
        <f t="shared" si="272"/>
        <v>11711</v>
      </c>
    </row>
    <row r="444" spans="1:18" x14ac:dyDescent="0.2">
      <c r="A444" s="8"/>
      <c r="B444" s="8"/>
      <c r="C444" s="8" t="s">
        <v>30</v>
      </c>
      <c r="D444" s="8"/>
      <c r="E444" s="69"/>
      <c r="F444" s="10">
        <f t="shared" ref="F444:R444" si="273">AVERAGE(F434:F439)</f>
        <v>8909.5</v>
      </c>
      <c r="G444" s="10">
        <f t="shared" si="273"/>
        <v>4162.666666666667</v>
      </c>
      <c r="H444" s="10">
        <f t="shared" si="273"/>
        <v>2.0215909526053828</v>
      </c>
      <c r="I444" s="10">
        <f t="shared" si="273"/>
        <v>7343.9833333333336</v>
      </c>
      <c r="J444" s="10">
        <f t="shared" si="273"/>
        <v>4.7666666666666666</v>
      </c>
      <c r="K444" s="10">
        <f t="shared" si="273"/>
        <v>241</v>
      </c>
      <c r="L444" s="10">
        <f t="shared" si="273"/>
        <v>0</v>
      </c>
      <c r="M444" s="10">
        <f t="shared" si="273"/>
        <v>3104</v>
      </c>
      <c r="N444" s="10">
        <f t="shared" si="273"/>
        <v>2608.6666666666665</v>
      </c>
      <c r="O444" s="10">
        <f t="shared" si="273"/>
        <v>0</v>
      </c>
      <c r="P444" s="10">
        <f t="shared" si="273"/>
        <v>0</v>
      </c>
      <c r="Q444" s="10">
        <f t="shared" si="273"/>
        <v>758</v>
      </c>
      <c r="R444" s="10">
        <f t="shared" si="273"/>
        <v>3934.1666666666665</v>
      </c>
    </row>
    <row r="445" spans="1:18" ht="13.5" thickBot="1" x14ac:dyDescent="0.25">
      <c r="A445" s="16"/>
      <c r="B445" s="16"/>
      <c r="C445" s="16" t="s">
        <v>31</v>
      </c>
      <c r="D445" s="16"/>
      <c r="E445" s="69"/>
      <c r="F445" s="18">
        <f t="shared" ref="F445:R445" si="274">MEDIAN(F434:F439)</f>
        <v>4649.5</v>
      </c>
      <c r="G445" s="18">
        <f t="shared" si="274"/>
        <v>2274</v>
      </c>
      <c r="H445" s="18">
        <f t="shared" si="274"/>
        <v>2.0387648181700913</v>
      </c>
      <c r="I445" s="18">
        <f t="shared" si="274"/>
        <v>5498.55</v>
      </c>
      <c r="J445" s="18">
        <f t="shared" si="274"/>
        <v>0.95</v>
      </c>
      <c r="K445" s="18">
        <f t="shared" si="274"/>
        <v>277</v>
      </c>
      <c r="L445" s="18">
        <f t="shared" si="274"/>
        <v>0</v>
      </c>
      <c r="M445" s="18">
        <f t="shared" si="274"/>
        <v>1874.5</v>
      </c>
      <c r="N445" s="18">
        <f t="shared" si="274"/>
        <v>1478</v>
      </c>
      <c r="O445" s="18">
        <f t="shared" si="274"/>
        <v>0</v>
      </c>
      <c r="P445" s="18">
        <f t="shared" si="274"/>
        <v>0</v>
      </c>
      <c r="Q445" s="18">
        <f t="shared" si="274"/>
        <v>0</v>
      </c>
      <c r="R445" s="18">
        <f t="shared" si="274"/>
        <v>2274</v>
      </c>
    </row>
    <row r="446" spans="1:18" ht="13.5" thickTop="1" x14ac:dyDescent="0.2">
      <c r="B446"/>
      <c r="C446" s="5"/>
      <c r="D446" s="5"/>
    </row>
    <row r="447" spans="1:18" ht="13.5" thickBot="1" x14ac:dyDescent="0.25">
      <c r="A447" s="25"/>
      <c r="B447" s="25"/>
      <c r="C447" s="27" t="s">
        <v>20</v>
      </c>
      <c r="D447" s="27"/>
    </row>
    <row r="448" spans="1:18" ht="13.5" thickTop="1" x14ac:dyDescent="0.2">
      <c r="A448" s="8">
        <v>10550</v>
      </c>
      <c r="B448" s="77" t="str">
        <f t="shared" ref="B448:B457" si="275">VLOOKUP($A448,$A$5:$K$132,2,FALSE)</f>
        <v>Bega Valley</v>
      </c>
      <c r="C448" s="9" t="str">
        <f t="shared" ref="C448:C457" si="276">VLOOKUP($A448,$A$5:$K$133,3,FALSE)</f>
        <v>CRJO</v>
      </c>
      <c r="D448" s="45" t="str">
        <f t="shared" ref="D448:D457" si="277">VLOOKUP($A448,$A$5:$K$133,4,FALSE)</f>
        <v>N</v>
      </c>
      <c r="E448" s="10" t="str">
        <f t="shared" ref="E448:E457" si="278">VLOOKUP($A448,$A$5:$R$132,5,FALSE)</f>
        <v>CRJO</v>
      </c>
      <c r="F448" s="10">
        <f t="shared" ref="F448:F457" si="279">VLOOKUP($A448,$A$5:$R$132,6,FALSE)</f>
        <v>36279</v>
      </c>
      <c r="G448" s="10">
        <f t="shared" ref="G448:G457" si="280">VLOOKUP($A448,$A$5:$R$132,7,FALSE)</f>
        <v>18870</v>
      </c>
      <c r="H448" s="10">
        <f t="shared" ref="H448:H457" si="281">VLOOKUP($A448,$A$5:$R$132,8,FALSE)</f>
        <v>1.9225755166931637</v>
      </c>
      <c r="I448" s="10">
        <f t="shared" ref="I448:I457" si="282">VLOOKUP($A448,$A$5:$R$132,9,FALSE)</f>
        <v>6278.5</v>
      </c>
      <c r="J448" s="10">
        <f t="shared" ref="J448:J457" si="283">VLOOKUP($A448,$A$5:$R$132,10,FALSE)</f>
        <v>5.8</v>
      </c>
      <c r="K448" s="10">
        <f t="shared" ref="K448:K457" si="284">VLOOKUP($A448,$A$5:$R$132,11,FALSE)</f>
        <v>265.62</v>
      </c>
      <c r="L448" s="10">
        <f t="shared" ref="L448:L457" si="285">VLOOKUP($A448,$A$4:$R$132,12,FALSE)</f>
        <v>0</v>
      </c>
      <c r="M448" s="10">
        <f t="shared" ref="M448:M457" si="286">VLOOKUP($A448,$A$4:$R$132,13,FALSE)</f>
        <v>15946</v>
      </c>
      <c r="N448" s="10">
        <f t="shared" ref="N448:N457" si="287">VLOOKUP($A448,$A$4:$R$132,14,FALSE)</f>
        <v>16213</v>
      </c>
      <c r="O448" s="10">
        <f t="shared" ref="O448:O457" si="288">VLOOKUP($A448,$A$4:$R$132,15,FALSE)</f>
        <v>0</v>
      </c>
      <c r="P448" s="10">
        <f t="shared" ref="P448:P457" si="289">VLOOKUP($A448,$A$4:$R$132,16,FALSE)</f>
        <v>12242</v>
      </c>
      <c r="Q448" s="10">
        <f t="shared" ref="Q448:Q457" si="290">VLOOKUP($A448,$A$4:$R$132,17,FALSE)</f>
        <v>0</v>
      </c>
      <c r="R448" s="10">
        <f t="shared" ref="R448:R457" si="291">VLOOKUP($A448,$A$4:$R$132,18,FALSE)</f>
        <v>18870</v>
      </c>
    </row>
    <row r="449" spans="1:18" x14ac:dyDescent="0.2">
      <c r="A449" s="8">
        <v>12750</v>
      </c>
      <c r="B449" s="77" t="str">
        <f t="shared" si="275"/>
        <v>Eurobodalla</v>
      </c>
      <c r="C449" s="9" t="str">
        <f t="shared" si="276"/>
        <v>CRJO</v>
      </c>
      <c r="D449" s="45" t="str">
        <f t="shared" si="277"/>
        <v>N</v>
      </c>
      <c r="E449" s="10" t="str">
        <f t="shared" si="278"/>
        <v>CRJO</v>
      </c>
      <c r="F449" s="10">
        <f t="shared" si="279"/>
        <v>40912</v>
      </c>
      <c r="G449" s="10">
        <f t="shared" si="280"/>
        <v>25137</v>
      </c>
      <c r="H449" s="10">
        <f t="shared" si="281"/>
        <v>1.6275609659068306</v>
      </c>
      <c r="I449" s="10">
        <f t="shared" si="282"/>
        <v>3428.2</v>
      </c>
      <c r="J449" s="10">
        <f t="shared" si="283"/>
        <v>11.9</v>
      </c>
      <c r="K449" s="10">
        <f t="shared" si="284"/>
        <v>324.35000000000002</v>
      </c>
      <c r="L449" s="10">
        <f t="shared" si="285"/>
        <v>0</v>
      </c>
      <c r="M449" s="10">
        <f t="shared" si="286"/>
        <v>23758</v>
      </c>
      <c r="N449" s="10">
        <f t="shared" si="287"/>
        <v>23533</v>
      </c>
      <c r="O449" s="10">
        <f t="shared" si="288"/>
        <v>22664</v>
      </c>
      <c r="P449" s="10">
        <f t="shared" si="289"/>
        <v>0</v>
      </c>
      <c r="Q449" s="10">
        <f t="shared" si="290"/>
        <v>25137</v>
      </c>
      <c r="R449" s="10">
        <f t="shared" si="291"/>
        <v>25137</v>
      </c>
    </row>
    <row r="450" spans="1:18" x14ac:dyDescent="0.2">
      <c r="A450" s="8">
        <v>13310</v>
      </c>
      <c r="B450" s="77" t="str">
        <f t="shared" si="275"/>
        <v>Goulburn Mulwaree</v>
      </c>
      <c r="C450" s="9" t="str">
        <f t="shared" si="276"/>
        <v>CRJO</v>
      </c>
      <c r="D450" s="45" t="str">
        <f t="shared" si="277"/>
        <v>N</v>
      </c>
      <c r="E450" s="10" t="str">
        <f t="shared" si="278"/>
        <v>CRJO</v>
      </c>
      <c r="F450" s="10">
        <f t="shared" si="279"/>
        <v>32710</v>
      </c>
      <c r="G450" s="10">
        <f t="shared" si="280"/>
        <v>17722</v>
      </c>
      <c r="H450" s="10">
        <f t="shared" si="281"/>
        <v>1.845728473084302</v>
      </c>
      <c r="I450" s="10">
        <f t="shared" si="282"/>
        <v>3220.1</v>
      </c>
      <c r="J450" s="10">
        <f t="shared" si="283"/>
        <v>10.199999999999999</v>
      </c>
      <c r="K450" s="10">
        <f t="shared" si="284"/>
        <v>402</v>
      </c>
      <c r="L450" s="10">
        <f t="shared" si="285"/>
        <v>0</v>
      </c>
      <c r="M450" s="10">
        <f t="shared" si="286"/>
        <v>11207</v>
      </c>
      <c r="N450" s="10">
        <f t="shared" si="287"/>
        <v>12261</v>
      </c>
      <c r="O450" s="10">
        <f t="shared" si="288"/>
        <v>0</v>
      </c>
      <c r="P450" s="10">
        <f t="shared" si="289"/>
        <v>12278</v>
      </c>
      <c r="Q450" s="10">
        <f t="shared" si="290"/>
        <v>17722</v>
      </c>
      <c r="R450" s="10">
        <f t="shared" si="291"/>
        <v>17722</v>
      </c>
    </row>
    <row r="451" spans="1:18" x14ac:dyDescent="0.2">
      <c r="A451" s="8">
        <v>13910</v>
      </c>
      <c r="B451" s="77" t="str">
        <f t="shared" si="275"/>
        <v>Hilltops</v>
      </c>
      <c r="C451" s="9" t="str">
        <f t="shared" si="276"/>
        <v>CRJO</v>
      </c>
      <c r="D451" s="45" t="str">
        <f t="shared" si="277"/>
        <v>N</v>
      </c>
      <c r="E451" s="10" t="str">
        <f t="shared" si="278"/>
        <v>CRJO</v>
      </c>
      <c r="F451" s="10">
        <f t="shared" si="279"/>
        <v>19255</v>
      </c>
      <c r="G451" s="10">
        <f t="shared" si="280"/>
        <v>11461</v>
      </c>
      <c r="H451" s="10">
        <f t="shared" si="281"/>
        <v>1.6800453712590524</v>
      </c>
      <c r="I451" s="10">
        <f t="shared" si="282"/>
        <v>7140.9</v>
      </c>
      <c r="J451" s="10">
        <f t="shared" si="283"/>
        <v>2.7</v>
      </c>
      <c r="K451" s="10">
        <f t="shared" si="284"/>
        <v>521.04</v>
      </c>
      <c r="L451" s="10">
        <f t="shared" si="285"/>
        <v>0</v>
      </c>
      <c r="M451" s="10">
        <f t="shared" si="286"/>
        <v>5597</v>
      </c>
      <c r="N451" s="10">
        <f t="shared" si="287"/>
        <v>5384</v>
      </c>
      <c r="O451" s="10">
        <f t="shared" si="288"/>
        <v>4700</v>
      </c>
      <c r="P451" s="10">
        <f t="shared" si="289"/>
        <v>0</v>
      </c>
      <c r="Q451" s="10">
        <f t="shared" si="290"/>
        <v>0</v>
      </c>
      <c r="R451" s="10">
        <f t="shared" si="291"/>
        <v>11461</v>
      </c>
    </row>
    <row r="452" spans="1:18" x14ac:dyDescent="0.2">
      <c r="A452" s="8">
        <v>16490</v>
      </c>
      <c r="B452" s="77" t="str">
        <f t="shared" si="275"/>
        <v>Queanbeyan-Palerang Regional</v>
      </c>
      <c r="C452" s="9" t="str">
        <f t="shared" si="276"/>
        <v>CRJO</v>
      </c>
      <c r="D452" s="45" t="str">
        <f t="shared" si="277"/>
        <v>N</v>
      </c>
      <c r="E452" s="10" t="str">
        <f t="shared" si="278"/>
        <v>CRJO</v>
      </c>
      <c r="F452" s="10">
        <f t="shared" si="279"/>
        <v>65369</v>
      </c>
      <c r="G452" s="10">
        <f t="shared" si="280"/>
        <v>28040</v>
      </c>
      <c r="H452" s="10">
        <f t="shared" si="281"/>
        <v>2.3312767475035665</v>
      </c>
      <c r="I452" s="10">
        <f t="shared" si="282"/>
        <v>5319</v>
      </c>
      <c r="J452" s="10">
        <f t="shared" si="283"/>
        <v>12.3</v>
      </c>
      <c r="K452" s="10">
        <f t="shared" si="284"/>
        <v>328</v>
      </c>
      <c r="L452" s="10">
        <f t="shared" si="285"/>
        <v>0</v>
      </c>
      <c r="M452" s="10">
        <f t="shared" si="286"/>
        <v>21934</v>
      </c>
      <c r="N452" s="10">
        <f t="shared" si="287"/>
        <v>18989</v>
      </c>
      <c r="O452" s="10">
        <f t="shared" si="288"/>
        <v>0</v>
      </c>
      <c r="P452" s="10">
        <f t="shared" si="289"/>
        <v>17224</v>
      </c>
      <c r="Q452" s="10">
        <f t="shared" si="290"/>
        <v>28040</v>
      </c>
      <c r="R452" s="10">
        <f t="shared" si="291"/>
        <v>28040</v>
      </c>
    </row>
    <row r="453" spans="1:18" x14ac:dyDescent="0.2">
      <c r="A453" s="8">
        <v>17040</v>
      </c>
      <c r="B453" s="77" t="str">
        <f t="shared" si="275"/>
        <v>Snowy Monaro Regional</v>
      </c>
      <c r="C453" s="9" t="str">
        <f t="shared" si="276"/>
        <v>CRJO</v>
      </c>
      <c r="D453" s="45" t="str">
        <f t="shared" si="277"/>
        <v>N</v>
      </c>
      <c r="E453" s="10" t="str">
        <f t="shared" si="278"/>
        <v>CRJO</v>
      </c>
      <c r="F453" s="10">
        <f t="shared" si="279"/>
        <v>22132</v>
      </c>
      <c r="G453" s="10">
        <f t="shared" si="280"/>
        <v>14261</v>
      </c>
      <c r="H453" s="10">
        <f t="shared" si="281"/>
        <v>1.5519248299558235</v>
      </c>
      <c r="I453" s="10">
        <f t="shared" si="282"/>
        <v>15164.8</v>
      </c>
      <c r="J453" s="10">
        <f t="shared" si="283"/>
        <v>1.5</v>
      </c>
      <c r="K453" s="10">
        <f t="shared" si="284"/>
        <v>597.94000000000005</v>
      </c>
      <c r="L453" s="10">
        <f t="shared" si="285"/>
        <v>0</v>
      </c>
      <c r="M453" s="10">
        <f t="shared" si="286"/>
        <v>8082</v>
      </c>
      <c r="N453" s="10">
        <f t="shared" si="287"/>
        <v>7755</v>
      </c>
      <c r="O453" s="10">
        <f t="shared" si="288"/>
        <v>0</v>
      </c>
      <c r="P453" s="10">
        <f t="shared" si="289"/>
        <v>2851</v>
      </c>
      <c r="Q453" s="10">
        <f t="shared" si="290"/>
        <v>0</v>
      </c>
      <c r="R453" s="10">
        <f t="shared" si="291"/>
        <v>14261</v>
      </c>
    </row>
    <row r="454" spans="1:18" x14ac:dyDescent="0.2">
      <c r="A454" s="8">
        <v>17080</v>
      </c>
      <c r="B454" s="77" t="str">
        <f t="shared" si="275"/>
        <v>Snowy Valleys</v>
      </c>
      <c r="C454" s="9" t="str">
        <f t="shared" si="276"/>
        <v>CRJO</v>
      </c>
      <c r="D454" s="45" t="str">
        <f t="shared" si="277"/>
        <v>N</v>
      </c>
      <c r="E454" s="10" t="str">
        <f t="shared" si="278"/>
        <v>CRJO</v>
      </c>
      <c r="F454" s="10">
        <f t="shared" si="279"/>
        <v>14935</v>
      </c>
      <c r="G454" s="10">
        <f t="shared" si="280"/>
        <v>9309</v>
      </c>
      <c r="H454" s="10">
        <f t="shared" si="281"/>
        <v>1.604361370716511</v>
      </c>
      <c r="I454" s="10">
        <f t="shared" si="282"/>
        <v>8958.9</v>
      </c>
      <c r="J454" s="10">
        <f t="shared" si="283"/>
        <v>1.7</v>
      </c>
      <c r="K454" s="10">
        <f t="shared" si="284"/>
        <v>490</v>
      </c>
      <c r="L454" s="10">
        <f t="shared" si="285"/>
        <v>0</v>
      </c>
      <c r="M454" s="10">
        <f t="shared" si="286"/>
        <v>5436</v>
      </c>
      <c r="N454" s="10">
        <f t="shared" si="287"/>
        <v>5436</v>
      </c>
      <c r="O454" s="10">
        <f t="shared" si="288"/>
        <v>0</v>
      </c>
      <c r="P454" s="10">
        <f t="shared" si="289"/>
        <v>5436</v>
      </c>
      <c r="Q454" s="10">
        <f t="shared" si="290"/>
        <v>0</v>
      </c>
      <c r="R454" s="10">
        <f t="shared" si="291"/>
        <v>9309</v>
      </c>
    </row>
    <row r="455" spans="1:18" x14ac:dyDescent="0.2">
      <c r="A455" s="8">
        <v>17640</v>
      </c>
      <c r="B455" s="77" t="str">
        <f t="shared" si="275"/>
        <v>Upper Lachlan Shire</v>
      </c>
      <c r="C455" s="9" t="str">
        <f t="shared" si="276"/>
        <v>CRJO</v>
      </c>
      <c r="D455" s="45" t="str">
        <f t="shared" si="277"/>
        <v>N</v>
      </c>
      <c r="E455" s="10" t="str">
        <f t="shared" si="278"/>
        <v>CRJO</v>
      </c>
      <c r="F455" s="10">
        <f t="shared" si="279"/>
        <v>8706</v>
      </c>
      <c r="G455" s="10">
        <f t="shared" si="280"/>
        <v>6980</v>
      </c>
      <c r="H455" s="10">
        <f t="shared" si="281"/>
        <v>1.2472779369627507</v>
      </c>
      <c r="I455" s="10">
        <f t="shared" si="282"/>
        <v>7127.4</v>
      </c>
      <c r="J455" s="10">
        <f t="shared" si="283"/>
        <v>1.2</v>
      </c>
      <c r="K455" s="10">
        <f t="shared" si="284"/>
        <v>556</v>
      </c>
      <c r="L455" s="10">
        <f t="shared" si="285"/>
        <v>0</v>
      </c>
      <c r="M455" s="10">
        <f t="shared" si="286"/>
        <v>2192</v>
      </c>
      <c r="N455" s="10">
        <f t="shared" si="287"/>
        <v>2192</v>
      </c>
      <c r="O455" s="10">
        <f t="shared" si="288"/>
        <v>2192</v>
      </c>
      <c r="P455" s="10">
        <f t="shared" si="289"/>
        <v>0</v>
      </c>
      <c r="Q455" s="10">
        <f t="shared" si="290"/>
        <v>0</v>
      </c>
      <c r="R455" s="10">
        <f t="shared" si="291"/>
        <v>6980</v>
      </c>
    </row>
    <row r="456" spans="1:18" x14ac:dyDescent="0.2">
      <c r="A456" s="8">
        <v>18350</v>
      </c>
      <c r="B456" s="77" t="str">
        <f t="shared" si="275"/>
        <v>Wingecarribee</v>
      </c>
      <c r="C456" s="9" t="str">
        <f t="shared" si="276"/>
        <v>CRJO</v>
      </c>
      <c r="D456" s="45" t="str">
        <f t="shared" si="277"/>
        <v>S</v>
      </c>
      <c r="E456" s="10" t="str">
        <f t="shared" si="278"/>
        <v>CRJO</v>
      </c>
      <c r="F456" s="10">
        <f t="shared" si="279"/>
        <v>53109</v>
      </c>
      <c r="G456" s="10">
        <f t="shared" si="280"/>
        <v>21704</v>
      </c>
      <c r="H456" s="10">
        <f t="shared" si="281"/>
        <v>2.446968300774051</v>
      </c>
      <c r="I456" s="10">
        <f t="shared" si="282"/>
        <v>2689.3</v>
      </c>
      <c r="J456" s="10">
        <f t="shared" si="283"/>
        <v>19.7</v>
      </c>
      <c r="K456" s="10">
        <f t="shared" si="284"/>
        <v>510.9</v>
      </c>
      <c r="L456" s="10">
        <f t="shared" si="285"/>
        <v>0</v>
      </c>
      <c r="M456" s="10">
        <f t="shared" si="286"/>
        <v>20531</v>
      </c>
      <c r="N456" s="10">
        <f t="shared" si="287"/>
        <v>20531</v>
      </c>
      <c r="O456" s="10">
        <f t="shared" si="288"/>
        <v>20664</v>
      </c>
      <c r="P456" s="10">
        <f t="shared" si="289"/>
        <v>0</v>
      </c>
      <c r="Q456" s="10">
        <f t="shared" si="290"/>
        <v>21704</v>
      </c>
      <c r="R456" s="10">
        <f t="shared" si="291"/>
        <v>21704</v>
      </c>
    </row>
    <row r="457" spans="1:18" ht="13.5" thickBot="1" x14ac:dyDescent="0.25">
      <c r="A457" s="8">
        <v>18710</v>
      </c>
      <c r="B457" s="77" t="str">
        <f t="shared" si="275"/>
        <v>Yass Valley</v>
      </c>
      <c r="C457" s="9" t="str">
        <f t="shared" si="276"/>
        <v>CRJO</v>
      </c>
      <c r="D457" s="45" t="str">
        <f t="shared" si="277"/>
        <v>N</v>
      </c>
      <c r="E457" s="10" t="str">
        <f t="shared" si="278"/>
        <v>CRJO</v>
      </c>
      <c r="F457" s="10">
        <f t="shared" si="279"/>
        <v>17477</v>
      </c>
      <c r="G457" s="10">
        <f t="shared" si="280"/>
        <v>8239</v>
      </c>
      <c r="H457" s="10">
        <f t="shared" si="281"/>
        <v>2.1212525791965042</v>
      </c>
      <c r="I457" s="10">
        <f t="shared" si="282"/>
        <v>3995</v>
      </c>
      <c r="J457" s="10">
        <f t="shared" si="283"/>
        <v>4.4000000000000004</v>
      </c>
      <c r="K457" s="10">
        <f t="shared" si="284"/>
        <v>500</v>
      </c>
      <c r="L457" s="10">
        <f t="shared" si="285"/>
        <v>0</v>
      </c>
      <c r="M457" s="10">
        <f t="shared" si="286"/>
        <v>4155</v>
      </c>
      <c r="N457" s="10">
        <f t="shared" si="287"/>
        <v>4155</v>
      </c>
      <c r="O457" s="10">
        <f t="shared" si="288"/>
        <v>0</v>
      </c>
      <c r="P457" s="10">
        <f t="shared" si="289"/>
        <v>0</v>
      </c>
      <c r="Q457" s="10">
        <f t="shared" si="290"/>
        <v>0</v>
      </c>
      <c r="R457" s="10">
        <f t="shared" si="291"/>
        <v>8239</v>
      </c>
    </row>
    <row r="458" spans="1:18" ht="13.5" thickTop="1" x14ac:dyDescent="0.2">
      <c r="A458" s="11"/>
      <c r="B458" s="11"/>
      <c r="C458" s="11" t="s">
        <v>26</v>
      </c>
      <c r="D458" s="11"/>
      <c r="E458" s="12"/>
      <c r="F458" s="13">
        <f t="shared" ref="F458:R458" si="292">COUNTIF(F448:F457,"&gt;0")</f>
        <v>10</v>
      </c>
      <c r="G458" s="13">
        <f t="shared" si="292"/>
        <v>10</v>
      </c>
      <c r="H458" s="13">
        <f t="shared" si="292"/>
        <v>10</v>
      </c>
      <c r="I458" s="13">
        <f t="shared" si="292"/>
        <v>10</v>
      </c>
      <c r="J458" s="13">
        <f t="shared" si="292"/>
        <v>10</v>
      </c>
      <c r="K458" s="13">
        <f t="shared" si="292"/>
        <v>10</v>
      </c>
      <c r="L458" s="13">
        <f t="shared" si="292"/>
        <v>0</v>
      </c>
      <c r="M458" s="13">
        <f t="shared" si="292"/>
        <v>10</v>
      </c>
      <c r="N458" s="13">
        <f t="shared" si="292"/>
        <v>10</v>
      </c>
      <c r="O458" s="13">
        <f t="shared" si="292"/>
        <v>4</v>
      </c>
      <c r="P458" s="13">
        <f t="shared" si="292"/>
        <v>5</v>
      </c>
      <c r="Q458" s="13">
        <f t="shared" si="292"/>
        <v>4</v>
      </c>
      <c r="R458" s="13">
        <f t="shared" si="292"/>
        <v>10</v>
      </c>
    </row>
    <row r="459" spans="1:18" x14ac:dyDescent="0.2">
      <c r="A459" s="8"/>
      <c r="B459" s="8"/>
      <c r="C459" s="8" t="s">
        <v>27</v>
      </c>
      <c r="D459" s="8"/>
      <c r="E459" s="69"/>
      <c r="F459" s="15">
        <f t="shared" ref="F459:R459" si="293">SUM(F448:F457)</f>
        <v>310884</v>
      </c>
      <c r="G459" s="15">
        <f t="shared" si="293"/>
        <v>161723</v>
      </c>
      <c r="H459" s="93">
        <f>F459/G459</f>
        <v>1.9223239737081306</v>
      </c>
      <c r="I459" s="15">
        <f t="shared" si="293"/>
        <v>63322.100000000006</v>
      </c>
      <c r="J459" s="15">
        <f t="shared" si="293"/>
        <v>71.400000000000006</v>
      </c>
      <c r="K459" s="15">
        <f t="shared" si="293"/>
        <v>4495.8500000000004</v>
      </c>
      <c r="L459" s="15">
        <f t="shared" si="293"/>
        <v>0</v>
      </c>
      <c r="M459" s="15">
        <f t="shared" si="293"/>
        <v>118838</v>
      </c>
      <c r="N459" s="15">
        <f t="shared" si="293"/>
        <v>116449</v>
      </c>
      <c r="O459" s="15">
        <f t="shared" si="293"/>
        <v>50220</v>
      </c>
      <c r="P459" s="15">
        <f t="shared" si="293"/>
        <v>50031</v>
      </c>
      <c r="Q459" s="15">
        <f t="shared" si="293"/>
        <v>92603</v>
      </c>
      <c r="R459" s="15">
        <f t="shared" si="293"/>
        <v>161723</v>
      </c>
    </row>
    <row r="460" spans="1:18" x14ac:dyDescent="0.2">
      <c r="A460" s="8"/>
      <c r="B460" s="8"/>
      <c r="C460" s="8" t="s">
        <v>28</v>
      </c>
      <c r="D460" s="8"/>
      <c r="E460" s="69"/>
      <c r="F460" s="10">
        <f t="shared" ref="F460:R460" si="294">MIN(F448:F457)</f>
        <v>8706</v>
      </c>
      <c r="G460" s="10">
        <f t="shared" si="294"/>
        <v>6980</v>
      </c>
      <c r="H460" s="10">
        <f t="shared" si="294"/>
        <v>1.2472779369627507</v>
      </c>
      <c r="I460" s="10">
        <f t="shared" si="294"/>
        <v>2689.3</v>
      </c>
      <c r="J460" s="10">
        <f t="shared" si="294"/>
        <v>1.2</v>
      </c>
      <c r="K460" s="10">
        <f t="shared" si="294"/>
        <v>265.62</v>
      </c>
      <c r="L460" s="10">
        <f t="shared" si="294"/>
        <v>0</v>
      </c>
      <c r="M460" s="10">
        <f t="shared" si="294"/>
        <v>2192</v>
      </c>
      <c r="N460" s="10">
        <f t="shared" si="294"/>
        <v>2192</v>
      </c>
      <c r="O460" s="10">
        <f t="shared" si="294"/>
        <v>0</v>
      </c>
      <c r="P460" s="10">
        <f t="shared" si="294"/>
        <v>0</v>
      </c>
      <c r="Q460" s="10">
        <f t="shared" si="294"/>
        <v>0</v>
      </c>
      <c r="R460" s="10">
        <f t="shared" si="294"/>
        <v>6980</v>
      </c>
    </row>
    <row r="461" spans="1:18" x14ac:dyDescent="0.2">
      <c r="A461" s="8"/>
      <c r="B461" s="8"/>
      <c r="C461" s="8" t="s">
        <v>29</v>
      </c>
      <c r="D461" s="8"/>
      <c r="E461" s="69"/>
      <c r="F461" s="10">
        <f t="shared" ref="F461:R461" si="295">MAX(F448:F457)</f>
        <v>65369</v>
      </c>
      <c r="G461" s="10">
        <f t="shared" si="295"/>
        <v>28040</v>
      </c>
      <c r="H461" s="10">
        <f t="shared" si="295"/>
        <v>2.446968300774051</v>
      </c>
      <c r="I461" s="10">
        <f t="shared" si="295"/>
        <v>15164.8</v>
      </c>
      <c r="J461" s="10">
        <f t="shared" si="295"/>
        <v>19.7</v>
      </c>
      <c r="K461" s="10">
        <f t="shared" si="295"/>
        <v>597.94000000000005</v>
      </c>
      <c r="L461" s="10">
        <f t="shared" si="295"/>
        <v>0</v>
      </c>
      <c r="M461" s="10">
        <f t="shared" si="295"/>
        <v>23758</v>
      </c>
      <c r="N461" s="10">
        <f t="shared" si="295"/>
        <v>23533</v>
      </c>
      <c r="O461" s="10">
        <f t="shared" si="295"/>
        <v>22664</v>
      </c>
      <c r="P461" s="10">
        <f t="shared" si="295"/>
        <v>17224</v>
      </c>
      <c r="Q461" s="10">
        <f t="shared" si="295"/>
        <v>28040</v>
      </c>
      <c r="R461" s="10">
        <f t="shared" si="295"/>
        <v>28040</v>
      </c>
    </row>
    <row r="462" spans="1:18" x14ac:dyDescent="0.2">
      <c r="A462" s="8"/>
      <c r="B462" s="8"/>
      <c r="C462" s="8" t="s">
        <v>30</v>
      </c>
      <c r="D462" s="8"/>
      <c r="E462" s="69"/>
      <c r="F462" s="10">
        <f t="shared" ref="F462:R462" si="296">AVERAGE(F448:F457)</f>
        <v>31088.400000000001</v>
      </c>
      <c r="G462" s="10">
        <f t="shared" si="296"/>
        <v>16172.3</v>
      </c>
      <c r="H462" s="10">
        <f t="shared" si="296"/>
        <v>1.8378972092052557</v>
      </c>
      <c r="I462" s="10">
        <f t="shared" si="296"/>
        <v>6332.2100000000009</v>
      </c>
      <c r="J462" s="10">
        <f t="shared" si="296"/>
        <v>7.1400000000000006</v>
      </c>
      <c r="K462" s="10">
        <f t="shared" si="296"/>
        <v>449.58500000000004</v>
      </c>
      <c r="L462" s="10">
        <f t="shared" si="296"/>
        <v>0</v>
      </c>
      <c r="M462" s="10">
        <f t="shared" si="296"/>
        <v>11883.8</v>
      </c>
      <c r="N462" s="10">
        <f t="shared" si="296"/>
        <v>11644.9</v>
      </c>
      <c r="O462" s="10">
        <f t="shared" si="296"/>
        <v>5022</v>
      </c>
      <c r="P462" s="10">
        <f t="shared" si="296"/>
        <v>5003.1000000000004</v>
      </c>
      <c r="Q462" s="10">
        <f t="shared" si="296"/>
        <v>9260.2999999999993</v>
      </c>
      <c r="R462" s="10">
        <f t="shared" si="296"/>
        <v>16172.3</v>
      </c>
    </row>
    <row r="463" spans="1:18" ht="13.5" thickBot="1" x14ac:dyDescent="0.25">
      <c r="A463" s="16"/>
      <c r="B463" s="16"/>
      <c r="C463" s="16" t="s">
        <v>31</v>
      </c>
      <c r="D463" s="16"/>
      <c r="E463" s="69"/>
      <c r="F463" s="18">
        <f t="shared" ref="F463:R463" si="297">MEDIAN(F448:F457)</f>
        <v>27421</v>
      </c>
      <c r="G463" s="18">
        <f t="shared" si="297"/>
        <v>15991.5</v>
      </c>
      <c r="H463" s="18">
        <f t="shared" si="297"/>
        <v>1.7628869221716772</v>
      </c>
      <c r="I463" s="18">
        <f t="shared" si="297"/>
        <v>5798.75</v>
      </c>
      <c r="J463" s="18">
        <f t="shared" si="297"/>
        <v>5.0999999999999996</v>
      </c>
      <c r="K463" s="18">
        <f t="shared" si="297"/>
        <v>495</v>
      </c>
      <c r="L463" s="18">
        <f t="shared" si="297"/>
        <v>0</v>
      </c>
      <c r="M463" s="18">
        <f t="shared" si="297"/>
        <v>9644.5</v>
      </c>
      <c r="N463" s="18">
        <f t="shared" si="297"/>
        <v>10008</v>
      </c>
      <c r="O463" s="18">
        <f t="shared" si="297"/>
        <v>0</v>
      </c>
      <c r="P463" s="18">
        <f t="shared" si="297"/>
        <v>1425.5</v>
      </c>
      <c r="Q463" s="18">
        <f t="shared" si="297"/>
        <v>0</v>
      </c>
      <c r="R463" s="18">
        <f t="shared" si="297"/>
        <v>15991.5</v>
      </c>
    </row>
    <row r="464" spans="1:18" ht="13.5" thickTop="1" x14ac:dyDescent="0.2">
      <c r="B464"/>
      <c r="C464" s="5"/>
      <c r="D464" s="5"/>
    </row>
    <row r="465" spans="1:18" ht="13.5" thickBot="1" x14ac:dyDescent="0.25">
      <c r="A465" s="25"/>
      <c r="B465" s="25"/>
      <c r="C465" s="27" t="s">
        <v>15</v>
      </c>
      <c r="D465" s="27"/>
    </row>
    <row r="466" spans="1:18" ht="13.5" thickTop="1" x14ac:dyDescent="0.2">
      <c r="A466" s="8">
        <v>10050</v>
      </c>
      <c r="B466" s="77" t="str">
        <f t="shared" ref="B466:B472" si="298">VLOOKUP($A466,$A$5:$K$132,2,FALSE)</f>
        <v>Albury</v>
      </c>
      <c r="C466" s="9" t="str">
        <f t="shared" ref="C466:C472" si="299">VLOOKUP($A466,$A$5:$K$133,3,FALSE)</f>
        <v>RAMJO Murray</v>
      </c>
      <c r="D466" s="45" t="str">
        <f t="shared" ref="D466:D472" si="300">VLOOKUP($A466,$A$5:$K$133,4,FALSE)</f>
        <v>N</v>
      </c>
      <c r="E466" s="10" t="str">
        <f t="shared" ref="E466:E472" si="301">VLOOKUP($A466,$A$5:$R$132,5,FALSE)</f>
        <v>RMJO</v>
      </c>
      <c r="F466" s="10">
        <f t="shared" ref="F466:F472" si="302">VLOOKUP($A466,$A$5:$R$132,6,FALSE)</f>
        <v>57517</v>
      </c>
      <c r="G466" s="10">
        <f t="shared" ref="G466:G472" si="303">VLOOKUP($A466,$A$5:$R$132,7,FALSE)</f>
        <v>26823</v>
      </c>
      <c r="H466" s="10">
        <f t="shared" ref="H466:H472" si="304">VLOOKUP($A466,$A$5:$R$132,8,FALSE)</f>
        <v>2.1443164448421133</v>
      </c>
      <c r="I466" s="10">
        <f t="shared" ref="I466:I472" si="305">VLOOKUP($A466,$A$5:$R$132,9,FALSE)</f>
        <v>305.60000000000002</v>
      </c>
      <c r="J466" s="10">
        <f t="shared" ref="J466:J472" si="306">VLOOKUP($A466,$A$5:$R$132,10,FALSE)</f>
        <v>188.2</v>
      </c>
      <c r="K466" s="10">
        <f t="shared" ref="K466:K472" si="307">VLOOKUP($A466,$A$5:$R$132,11,FALSE)</f>
        <v>270</v>
      </c>
      <c r="L466" s="10">
        <f t="shared" ref="L466:L472" si="308">VLOOKUP($A466,$A$4:$R$132,12,FALSE)</f>
        <v>0</v>
      </c>
      <c r="M466" s="10">
        <f t="shared" ref="M466:M472" si="309">VLOOKUP($A466,$A$4:$R$132,13,FALSE)</f>
        <v>26062</v>
      </c>
      <c r="N466" s="10">
        <f t="shared" ref="N466:N472" si="310">VLOOKUP($A466,$A$4:$R$132,14,FALSE)</f>
        <v>26167</v>
      </c>
      <c r="O466" s="10">
        <f t="shared" ref="O466:O472" si="311">VLOOKUP($A466,$A$4:$R$132,15,FALSE)</f>
        <v>0</v>
      </c>
      <c r="P466" s="10">
        <f t="shared" ref="P466:P472" si="312">VLOOKUP($A466,$A$4:$R$132,16,FALSE)</f>
        <v>26570</v>
      </c>
      <c r="Q466" s="10">
        <f t="shared" ref="Q466:Q472" si="313">VLOOKUP($A466,$A$4:$R$132,17,FALSE)</f>
        <v>0</v>
      </c>
      <c r="R466" s="10">
        <f t="shared" ref="R466:R472" si="314">VLOOKUP($A466,$A$4:$R$132,18,FALSE)</f>
        <v>26823</v>
      </c>
    </row>
    <row r="467" spans="1:18" x14ac:dyDescent="0.2">
      <c r="A467" s="8">
        <v>10300</v>
      </c>
      <c r="B467" s="77" t="str">
        <f t="shared" si="298"/>
        <v>Balranald</v>
      </c>
      <c r="C467" s="9" t="str">
        <f t="shared" si="299"/>
        <v>RAMJO Murray</v>
      </c>
      <c r="D467" s="45" t="str">
        <f t="shared" si="300"/>
        <v>N</v>
      </c>
      <c r="E467" s="10" t="str">
        <f t="shared" si="301"/>
        <v>FSWJO</v>
      </c>
      <c r="F467" s="10">
        <f t="shared" si="302"/>
        <v>2202</v>
      </c>
      <c r="G467" s="10">
        <f t="shared" si="303"/>
        <v>1651</v>
      </c>
      <c r="H467" s="10">
        <f t="shared" si="304"/>
        <v>1.3337371290127196</v>
      </c>
      <c r="I467" s="10">
        <f t="shared" si="305"/>
        <v>21690.7</v>
      </c>
      <c r="J467" s="10">
        <f t="shared" si="306"/>
        <v>0.1</v>
      </c>
      <c r="K467" s="10">
        <f t="shared" si="307"/>
        <v>390</v>
      </c>
      <c r="L467" s="10">
        <f t="shared" si="308"/>
        <v>0</v>
      </c>
      <c r="M467" s="10">
        <f t="shared" si="309"/>
        <v>1055</v>
      </c>
      <c r="N467" s="10">
        <f t="shared" si="310"/>
        <v>0</v>
      </c>
      <c r="O467" s="10">
        <f t="shared" si="311"/>
        <v>0</v>
      </c>
      <c r="P467" s="10">
        <f t="shared" si="312"/>
        <v>0</v>
      </c>
      <c r="Q467" s="10">
        <f t="shared" si="313"/>
        <v>0</v>
      </c>
      <c r="R467" s="10">
        <f t="shared" si="314"/>
        <v>1651</v>
      </c>
    </row>
    <row r="468" spans="1:18" x14ac:dyDescent="0.2">
      <c r="A468" s="8">
        <v>10650</v>
      </c>
      <c r="B468" s="77" t="str">
        <f t="shared" si="298"/>
        <v>Berrigan</v>
      </c>
      <c r="C468" s="9" t="str">
        <f t="shared" si="299"/>
        <v>RAMJO Murray</v>
      </c>
      <c r="D468" s="45" t="str">
        <f t="shared" si="300"/>
        <v>N</v>
      </c>
      <c r="E468" s="10" t="str">
        <f t="shared" si="301"/>
        <v>RMJO</v>
      </c>
      <c r="F468" s="10">
        <f t="shared" si="302"/>
        <v>8643</v>
      </c>
      <c r="G468" s="10">
        <f t="shared" si="303"/>
        <v>5516</v>
      </c>
      <c r="H468" s="10">
        <f t="shared" si="304"/>
        <v>1.5668963016678752</v>
      </c>
      <c r="I468" s="10">
        <f t="shared" si="305"/>
        <v>2065.9</v>
      </c>
      <c r="J468" s="10">
        <f t="shared" si="306"/>
        <v>4.2</v>
      </c>
      <c r="K468" s="10">
        <f t="shared" si="307"/>
        <v>339</v>
      </c>
      <c r="L468" s="10">
        <f t="shared" si="308"/>
        <v>0</v>
      </c>
      <c r="M468" s="10">
        <f t="shared" si="309"/>
        <v>3331</v>
      </c>
      <c r="N468" s="10">
        <f t="shared" si="310"/>
        <v>3127</v>
      </c>
      <c r="O468" s="10">
        <f t="shared" si="311"/>
        <v>0</v>
      </c>
      <c r="P468" s="10">
        <f t="shared" si="312"/>
        <v>0</v>
      </c>
      <c r="Q468" s="10">
        <f t="shared" si="313"/>
        <v>0</v>
      </c>
      <c r="R468" s="10">
        <f t="shared" si="314"/>
        <v>5516</v>
      </c>
    </row>
    <row r="469" spans="1:18" x14ac:dyDescent="0.2">
      <c r="A469" s="8">
        <v>12730</v>
      </c>
      <c r="B469" s="77" t="str">
        <f t="shared" si="298"/>
        <v>Edward River</v>
      </c>
      <c r="C469" s="9" t="str">
        <f t="shared" si="299"/>
        <v>RAMJO Murray</v>
      </c>
      <c r="D469" s="45" t="str">
        <f t="shared" si="300"/>
        <v>N</v>
      </c>
      <c r="E469" s="10" t="str">
        <f t="shared" si="301"/>
        <v>RMJO</v>
      </c>
      <c r="F469" s="10">
        <f t="shared" si="302"/>
        <v>8430</v>
      </c>
      <c r="G469" s="10">
        <f t="shared" si="303"/>
        <v>5027</v>
      </c>
      <c r="H469" s="10">
        <f t="shared" si="304"/>
        <v>1.6769444997016112</v>
      </c>
      <c r="I469" s="10">
        <f t="shared" si="305"/>
        <v>8883.4</v>
      </c>
      <c r="J469" s="10">
        <f t="shared" si="306"/>
        <v>0.9</v>
      </c>
      <c r="K469" s="10">
        <f t="shared" si="307"/>
        <v>408</v>
      </c>
      <c r="L469" s="10">
        <f t="shared" si="308"/>
        <v>0</v>
      </c>
      <c r="M469" s="10">
        <f t="shared" si="309"/>
        <v>3767</v>
      </c>
      <c r="N469" s="10">
        <f t="shared" si="310"/>
        <v>0</v>
      </c>
      <c r="O469" s="10">
        <f t="shared" si="311"/>
        <v>0</v>
      </c>
      <c r="P469" s="10">
        <f t="shared" si="312"/>
        <v>0</v>
      </c>
      <c r="Q469" s="10">
        <f t="shared" si="313"/>
        <v>0</v>
      </c>
      <c r="R469" s="10">
        <f t="shared" si="314"/>
        <v>5027</v>
      </c>
    </row>
    <row r="470" spans="1:18" x14ac:dyDescent="0.2">
      <c r="A470" s="8">
        <v>12870</v>
      </c>
      <c r="B470" s="77" t="str">
        <f t="shared" si="298"/>
        <v>Federation</v>
      </c>
      <c r="C470" s="9" t="str">
        <f t="shared" si="299"/>
        <v>RAMJO Murray</v>
      </c>
      <c r="D470" s="45" t="str">
        <f t="shared" si="300"/>
        <v>N</v>
      </c>
      <c r="E470" s="10" t="str">
        <f t="shared" si="301"/>
        <v>RMJO</v>
      </c>
      <c r="F470" s="10">
        <f t="shared" si="302"/>
        <v>12939</v>
      </c>
      <c r="G470" s="10">
        <f t="shared" si="303"/>
        <v>9904</v>
      </c>
      <c r="H470" s="10">
        <f t="shared" si="304"/>
        <v>1.3064418416801293</v>
      </c>
      <c r="I470" s="10">
        <f t="shared" si="305"/>
        <v>5684.9</v>
      </c>
      <c r="J470" s="10">
        <f t="shared" si="306"/>
        <v>2.2999999999999998</v>
      </c>
      <c r="K470" s="10">
        <f t="shared" si="307"/>
        <v>425</v>
      </c>
      <c r="L470" s="10">
        <f t="shared" si="308"/>
        <v>0</v>
      </c>
      <c r="M470" s="10">
        <f t="shared" si="309"/>
        <v>6050</v>
      </c>
      <c r="N470" s="10">
        <f t="shared" si="310"/>
        <v>5643</v>
      </c>
      <c r="O470" s="10">
        <f t="shared" si="311"/>
        <v>0</v>
      </c>
      <c r="P470" s="10">
        <f t="shared" si="312"/>
        <v>5636</v>
      </c>
      <c r="Q470" s="10">
        <f t="shared" si="313"/>
        <v>0</v>
      </c>
      <c r="R470" s="10">
        <f t="shared" si="314"/>
        <v>0</v>
      </c>
    </row>
    <row r="471" spans="1:18" x14ac:dyDescent="0.2">
      <c r="A471" s="8">
        <v>15520</v>
      </c>
      <c r="B471" s="77" t="str">
        <f t="shared" si="298"/>
        <v>Murray River</v>
      </c>
      <c r="C471" s="9" t="str">
        <f t="shared" si="299"/>
        <v>RAMJO Murray</v>
      </c>
      <c r="D471" s="45" t="str">
        <f t="shared" si="300"/>
        <v>N</v>
      </c>
      <c r="E471" s="10" t="str">
        <f t="shared" si="301"/>
        <v>RMJO</v>
      </c>
      <c r="F471" s="10">
        <f t="shared" si="302"/>
        <v>13326</v>
      </c>
      <c r="G471" s="10">
        <f t="shared" si="303"/>
        <v>8909</v>
      </c>
      <c r="H471" s="10">
        <f t="shared" si="304"/>
        <v>1.4957907733752385</v>
      </c>
      <c r="I471" s="10">
        <f t="shared" si="305"/>
        <v>11863</v>
      </c>
      <c r="J471" s="10">
        <f t="shared" si="306"/>
        <v>1.1000000000000001</v>
      </c>
      <c r="K471" s="10">
        <f t="shared" si="307"/>
        <v>440</v>
      </c>
      <c r="L471" s="10">
        <f t="shared" si="308"/>
        <v>0</v>
      </c>
      <c r="M471" s="10">
        <f t="shared" si="309"/>
        <v>5895</v>
      </c>
      <c r="N471" s="10">
        <f t="shared" si="310"/>
        <v>3025</v>
      </c>
      <c r="O471" s="10">
        <f t="shared" si="311"/>
        <v>0</v>
      </c>
      <c r="P471" s="10">
        <f t="shared" si="312"/>
        <v>2093</v>
      </c>
      <c r="Q471" s="10">
        <f t="shared" si="313"/>
        <v>0</v>
      </c>
      <c r="R471" s="10">
        <f t="shared" si="314"/>
        <v>8909</v>
      </c>
    </row>
    <row r="472" spans="1:18" ht="13.5" thickBot="1" x14ac:dyDescent="0.25">
      <c r="A472" s="8">
        <v>18200</v>
      </c>
      <c r="B472" s="77" t="str">
        <f t="shared" si="298"/>
        <v>Wentworth</v>
      </c>
      <c r="C472" s="9" t="str">
        <f t="shared" si="299"/>
        <v>RAMJO Murray</v>
      </c>
      <c r="D472" s="45" t="str">
        <f t="shared" si="300"/>
        <v>N</v>
      </c>
      <c r="E472" s="10" t="str">
        <f t="shared" si="301"/>
        <v>FSWJO</v>
      </c>
      <c r="F472" s="10">
        <f t="shared" si="302"/>
        <v>7688</v>
      </c>
      <c r="G472" s="10">
        <f t="shared" si="303"/>
        <v>4097</v>
      </c>
      <c r="H472" s="10">
        <f t="shared" si="304"/>
        <v>1.8764949963387845</v>
      </c>
      <c r="I472" s="10">
        <f t="shared" si="305"/>
        <v>26255.9</v>
      </c>
      <c r="J472" s="10">
        <f t="shared" si="306"/>
        <v>0.3</v>
      </c>
      <c r="K472" s="10">
        <f t="shared" si="307"/>
        <v>281</v>
      </c>
      <c r="L472" s="10">
        <f t="shared" si="308"/>
        <v>0</v>
      </c>
      <c r="M472" s="10">
        <f t="shared" si="309"/>
        <v>122</v>
      </c>
      <c r="N472" s="10">
        <f t="shared" si="310"/>
        <v>0</v>
      </c>
      <c r="O472" s="10">
        <f t="shared" si="311"/>
        <v>0</v>
      </c>
      <c r="P472" s="10">
        <f t="shared" si="312"/>
        <v>0</v>
      </c>
      <c r="Q472" s="10">
        <f t="shared" si="313"/>
        <v>0</v>
      </c>
      <c r="R472" s="10">
        <f t="shared" si="314"/>
        <v>4097</v>
      </c>
    </row>
    <row r="473" spans="1:18" ht="13.5" thickTop="1" x14ac:dyDescent="0.2">
      <c r="A473" s="11"/>
      <c r="B473" s="11"/>
      <c r="C473" s="11" t="s">
        <v>26</v>
      </c>
      <c r="D473" s="11"/>
      <c r="E473" s="12"/>
      <c r="F473" s="13">
        <f t="shared" ref="F473:R473" si="315">COUNTIF(F466:F472,"&gt;0")</f>
        <v>7</v>
      </c>
      <c r="G473" s="13">
        <f t="shared" si="315"/>
        <v>7</v>
      </c>
      <c r="H473" s="13">
        <f t="shared" si="315"/>
        <v>7</v>
      </c>
      <c r="I473" s="13">
        <f t="shared" si="315"/>
        <v>7</v>
      </c>
      <c r="J473" s="13">
        <f t="shared" si="315"/>
        <v>7</v>
      </c>
      <c r="K473" s="13">
        <f t="shared" si="315"/>
        <v>7</v>
      </c>
      <c r="L473" s="13">
        <f t="shared" si="315"/>
        <v>0</v>
      </c>
      <c r="M473" s="13">
        <f t="shared" si="315"/>
        <v>7</v>
      </c>
      <c r="N473" s="13">
        <f t="shared" si="315"/>
        <v>4</v>
      </c>
      <c r="O473" s="13">
        <f t="shared" si="315"/>
        <v>0</v>
      </c>
      <c r="P473" s="13">
        <f t="shared" si="315"/>
        <v>3</v>
      </c>
      <c r="Q473" s="13">
        <f t="shared" si="315"/>
        <v>0</v>
      </c>
      <c r="R473" s="13">
        <f t="shared" si="315"/>
        <v>6</v>
      </c>
    </row>
    <row r="474" spans="1:18" x14ac:dyDescent="0.2">
      <c r="A474" s="8"/>
      <c r="B474" s="8"/>
      <c r="C474" s="8" t="s">
        <v>27</v>
      </c>
      <c r="D474" s="8"/>
      <c r="E474" s="69"/>
      <c r="F474" s="15">
        <f>SUM(F466:F472)</f>
        <v>110745</v>
      </c>
      <c r="G474" s="15">
        <f>SUM(G466:G472)</f>
        <v>61927</v>
      </c>
      <c r="H474" s="93">
        <f>F474/G474</f>
        <v>1.7883152744360296</v>
      </c>
      <c r="I474" s="15">
        <f t="shared" ref="I474:R474" si="316">SUM(I466:I472)</f>
        <v>76749.399999999994</v>
      </c>
      <c r="J474" s="15">
        <f t="shared" si="316"/>
        <v>197.1</v>
      </c>
      <c r="K474" s="15">
        <f t="shared" si="316"/>
        <v>2553</v>
      </c>
      <c r="L474" s="15">
        <f t="shared" si="316"/>
        <v>0</v>
      </c>
      <c r="M474" s="15">
        <f t="shared" si="316"/>
        <v>46282</v>
      </c>
      <c r="N474" s="15">
        <f t="shared" si="316"/>
        <v>37962</v>
      </c>
      <c r="O474" s="15">
        <f t="shared" si="316"/>
        <v>0</v>
      </c>
      <c r="P474" s="15">
        <f t="shared" si="316"/>
        <v>34299</v>
      </c>
      <c r="Q474" s="15">
        <f t="shared" si="316"/>
        <v>0</v>
      </c>
      <c r="R474" s="15">
        <f t="shared" si="316"/>
        <v>52023</v>
      </c>
    </row>
    <row r="475" spans="1:18" x14ac:dyDescent="0.2">
      <c r="A475" s="8"/>
      <c r="B475" s="8"/>
      <c r="C475" s="8" t="s">
        <v>28</v>
      </c>
      <c r="D475" s="8"/>
      <c r="E475" s="69"/>
      <c r="F475" s="10">
        <f t="shared" ref="F475:R475" si="317">MIN(F466:F472)</f>
        <v>2202</v>
      </c>
      <c r="G475" s="10">
        <f t="shared" si="317"/>
        <v>1651</v>
      </c>
      <c r="H475" s="10">
        <f t="shared" si="317"/>
        <v>1.3064418416801293</v>
      </c>
      <c r="I475" s="10">
        <f t="shared" si="317"/>
        <v>305.60000000000002</v>
      </c>
      <c r="J475" s="10">
        <f t="shared" si="317"/>
        <v>0.1</v>
      </c>
      <c r="K475" s="10">
        <f t="shared" si="317"/>
        <v>270</v>
      </c>
      <c r="L475" s="10">
        <f t="shared" si="317"/>
        <v>0</v>
      </c>
      <c r="M475" s="10">
        <f t="shared" si="317"/>
        <v>122</v>
      </c>
      <c r="N475" s="10">
        <f t="shared" si="317"/>
        <v>0</v>
      </c>
      <c r="O475" s="10">
        <f t="shared" si="317"/>
        <v>0</v>
      </c>
      <c r="P475" s="10">
        <f t="shared" si="317"/>
        <v>0</v>
      </c>
      <c r="Q475" s="10">
        <f t="shared" si="317"/>
        <v>0</v>
      </c>
      <c r="R475" s="10">
        <f t="shared" si="317"/>
        <v>0</v>
      </c>
    </row>
    <row r="476" spans="1:18" x14ac:dyDescent="0.2">
      <c r="A476" s="8"/>
      <c r="B476" s="8"/>
      <c r="C476" s="8" t="s">
        <v>29</v>
      </c>
      <c r="D476" s="8"/>
      <c r="E476" s="69"/>
      <c r="F476" s="10">
        <f t="shared" ref="F476:R476" si="318">MAX(F466:F472)</f>
        <v>57517</v>
      </c>
      <c r="G476" s="10">
        <f t="shared" si="318"/>
        <v>26823</v>
      </c>
      <c r="H476" s="10">
        <f t="shared" si="318"/>
        <v>2.1443164448421133</v>
      </c>
      <c r="I476" s="10">
        <f t="shared" si="318"/>
        <v>26255.9</v>
      </c>
      <c r="J476" s="10">
        <f t="shared" si="318"/>
        <v>188.2</v>
      </c>
      <c r="K476" s="10">
        <f t="shared" si="318"/>
        <v>440</v>
      </c>
      <c r="L476" s="10">
        <f t="shared" si="318"/>
        <v>0</v>
      </c>
      <c r="M476" s="10">
        <f t="shared" si="318"/>
        <v>26062</v>
      </c>
      <c r="N476" s="10">
        <f t="shared" si="318"/>
        <v>26167</v>
      </c>
      <c r="O476" s="10">
        <f t="shared" si="318"/>
        <v>0</v>
      </c>
      <c r="P476" s="10">
        <f t="shared" si="318"/>
        <v>26570</v>
      </c>
      <c r="Q476" s="10">
        <f t="shared" si="318"/>
        <v>0</v>
      </c>
      <c r="R476" s="10">
        <f t="shared" si="318"/>
        <v>26823</v>
      </c>
    </row>
    <row r="477" spans="1:18" x14ac:dyDescent="0.2">
      <c r="A477" s="8"/>
      <c r="B477" s="8"/>
      <c r="C477" s="8" t="s">
        <v>30</v>
      </c>
      <c r="D477" s="8"/>
      <c r="E477" s="69"/>
      <c r="F477" s="10">
        <f t="shared" ref="F477:R477" si="319">AVERAGE(F466:F472)</f>
        <v>15820.714285714286</v>
      </c>
      <c r="G477" s="10">
        <f t="shared" si="319"/>
        <v>8846.7142857142862</v>
      </c>
      <c r="H477" s="10">
        <f t="shared" si="319"/>
        <v>1.6286602838026389</v>
      </c>
      <c r="I477" s="10">
        <f t="shared" si="319"/>
        <v>10964.199999999999</v>
      </c>
      <c r="J477" s="10">
        <f t="shared" si="319"/>
        <v>28.157142857142855</v>
      </c>
      <c r="K477" s="10">
        <f t="shared" si="319"/>
        <v>364.71428571428572</v>
      </c>
      <c r="L477" s="10">
        <f t="shared" si="319"/>
        <v>0</v>
      </c>
      <c r="M477" s="10">
        <f t="shared" si="319"/>
        <v>6611.7142857142853</v>
      </c>
      <c r="N477" s="10">
        <f t="shared" si="319"/>
        <v>5423.1428571428569</v>
      </c>
      <c r="O477" s="10">
        <f t="shared" si="319"/>
        <v>0</v>
      </c>
      <c r="P477" s="10">
        <f t="shared" si="319"/>
        <v>4899.8571428571431</v>
      </c>
      <c r="Q477" s="10">
        <f t="shared" si="319"/>
        <v>0</v>
      </c>
      <c r="R477" s="10">
        <f t="shared" si="319"/>
        <v>7431.8571428571431</v>
      </c>
    </row>
    <row r="478" spans="1:18" ht="13.5" thickBot="1" x14ac:dyDescent="0.25">
      <c r="A478" s="16"/>
      <c r="B478" s="16"/>
      <c r="C478" s="16" t="s">
        <v>31</v>
      </c>
      <c r="D478" s="16"/>
      <c r="E478" s="69"/>
      <c r="F478" s="18">
        <f t="shared" ref="F478:R478" si="320">MEDIAN(F466:F472)</f>
        <v>8643</v>
      </c>
      <c r="G478" s="18">
        <f t="shared" si="320"/>
        <v>5516</v>
      </c>
      <c r="H478" s="18">
        <f t="shared" si="320"/>
        <v>1.5668963016678752</v>
      </c>
      <c r="I478" s="18">
        <f t="shared" si="320"/>
        <v>8883.4</v>
      </c>
      <c r="J478" s="18">
        <f t="shared" si="320"/>
        <v>1.1000000000000001</v>
      </c>
      <c r="K478" s="18">
        <f t="shared" si="320"/>
        <v>390</v>
      </c>
      <c r="L478" s="18">
        <f t="shared" si="320"/>
        <v>0</v>
      </c>
      <c r="M478" s="18">
        <f t="shared" si="320"/>
        <v>3767</v>
      </c>
      <c r="N478" s="18">
        <f t="shared" si="320"/>
        <v>3025</v>
      </c>
      <c r="O478" s="18">
        <f t="shared" si="320"/>
        <v>0</v>
      </c>
      <c r="P478" s="18">
        <f t="shared" si="320"/>
        <v>0</v>
      </c>
      <c r="Q478" s="18">
        <f t="shared" si="320"/>
        <v>0</v>
      </c>
      <c r="R478" s="18">
        <f t="shared" si="320"/>
        <v>5027</v>
      </c>
    </row>
    <row r="479" spans="1:18" ht="13.5" thickTop="1" x14ac:dyDescent="0.2"/>
    <row r="480" spans="1:18" ht="13.5" thickBot="1" x14ac:dyDescent="0.25">
      <c r="A480" s="25"/>
      <c r="B480" s="25"/>
      <c r="C480" s="27" t="s">
        <v>32</v>
      </c>
      <c r="D480" s="27"/>
    </row>
    <row r="481" spans="1:18" ht="13.5" thickTop="1" x14ac:dyDescent="0.2">
      <c r="A481" s="61">
        <v>11650</v>
      </c>
      <c r="B481" s="77" t="str">
        <f t="shared" ref="B481:B490" si="321">VLOOKUP($A481,$A$5:$K$132,2,FALSE)</f>
        <v>Central Coast</v>
      </c>
      <c r="C481" s="9" t="str">
        <f t="shared" ref="C481:C490" si="322">VLOOKUP($A481,$A$5:$K$133,3,FALSE)</f>
        <v>Hunter</v>
      </c>
      <c r="D481" s="45" t="str">
        <f t="shared" ref="D481:D490" si="323">VLOOKUP($A481,$A$5:$K$133,4,FALSE)</f>
        <v>S</v>
      </c>
      <c r="E481" s="10">
        <f t="shared" ref="E481:E490" si="324">VLOOKUP($A481,$A$5:$R$132,5,FALSE)</f>
        <v>0</v>
      </c>
      <c r="F481" s="10">
        <f t="shared" ref="F481:F490" si="325">VLOOKUP($A481,$A$5:$R$132,6,FALSE)</f>
        <v>351934</v>
      </c>
      <c r="G481" s="10">
        <f t="shared" ref="G481:G490" si="326">VLOOKUP($A481,$A$5:$R$132,7,FALSE)</f>
        <v>150729</v>
      </c>
      <c r="H481" s="10">
        <f t="shared" ref="H481:H490" si="327">VLOOKUP($A481,$A$5:$R$132,8,FALSE)</f>
        <v>2.3348791539783318</v>
      </c>
      <c r="I481" s="10">
        <f t="shared" ref="I481:I490" si="328">VLOOKUP($A481,$A$5:$R$132,9,FALSE)</f>
        <v>1681</v>
      </c>
      <c r="J481" s="10">
        <f t="shared" ref="J481:J490" si="329">VLOOKUP($A481,$A$5:$R$132,10,FALSE)</f>
        <v>209.4</v>
      </c>
      <c r="K481" s="10">
        <f t="shared" ref="K481:K490" si="330">VLOOKUP($A481,$A$5:$R$132,11,FALSE)</f>
        <v>520</v>
      </c>
      <c r="L481" s="10">
        <f t="shared" ref="L481:L490" si="331">VLOOKUP($A481,$A$4:$R$132,12,FALSE)</f>
        <v>0</v>
      </c>
      <c r="M481" s="10">
        <f t="shared" ref="M481:M490" si="332">VLOOKUP($A481,$A$4:$R$132,13,FALSE)</f>
        <v>129623</v>
      </c>
      <c r="N481" s="10">
        <f t="shared" ref="N481:N490" si="333">VLOOKUP($A481,$A$4:$R$132,14,FALSE)</f>
        <v>130046</v>
      </c>
      <c r="O481" s="10">
        <f t="shared" ref="O481:O490" si="334">VLOOKUP($A481,$A$4:$R$132,15,FALSE)</f>
        <v>126259</v>
      </c>
      <c r="P481" s="10">
        <f t="shared" ref="P481:P490" si="335">VLOOKUP($A481,$A$4:$R$132,16,FALSE)</f>
        <v>0</v>
      </c>
      <c r="Q481" s="10">
        <f t="shared" ref="Q481:Q490" si="336">VLOOKUP($A481,$A$4:$R$132,17,FALSE)</f>
        <v>150729</v>
      </c>
      <c r="R481" s="10">
        <f t="shared" ref="R481:R490" si="337">VLOOKUP($A481,$A$4:$R$132,18,FALSE)</f>
        <v>150729</v>
      </c>
    </row>
    <row r="482" spans="1:18" x14ac:dyDescent="0.2">
      <c r="A482" s="8">
        <v>11720</v>
      </c>
      <c r="B482" s="77" t="str">
        <f t="shared" si="321"/>
        <v>Cessnock</v>
      </c>
      <c r="C482" s="9" t="str">
        <f t="shared" si="322"/>
        <v>Hunter</v>
      </c>
      <c r="D482" s="45" t="str">
        <f t="shared" si="323"/>
        <v>S</v>
      </c>
      <c r="E482" s="10" t="str">
        <f t="shared" si="324"/>
        <v>HJO</v>
      </c>
      <c r="F482" s="10">
        <f t="shared" si="325"/>
        <v>67591</v>
      </c>
      <c r="G482" s="10">
        <f t="shared" si="326"/>
        <v>29210</v>
      </c>
      <c r="H482" s="10">
        <f t="shared" si="327"/>
        <v>2.3139678192399864</v>
      </c>
      <c r="I482" s="10">
        <f t="shared" si="328"/>
        <v>1965.2</v>
      </c>
      <c r="J482" s="10">
        <f t="shared" si="329"/>
        <v>34.4</v>
      </c>
      <c r="K482" s="10">
        <f t="shared" si="330"/>
        <v>645</v>
      </c>
      <c r="L482" s="10">
        <f t="shared" si="331"/>
        <v>0</v>
      </c>
      <c r="M482" s="10">
        <f t="shared" si="332"/>
        <v>25207</v>
      </c>
      <c r="N482" s="10">
        <f t="shared" si="333"/>
        <v>25467</v>
      </c>
      <c r="O482" s="10">
        <f t="shared" si="334"/>
        <v>25204</v>
      </c>
      <c r="P482" s="10">
        <f t="shared" si="335"/>
        <v>0</v>
      </c>
      <c r="Q482" s="10">
        <f t="shared" si="336"/>
        <v>0</v>
      </c>
      <c r="R482" s="10">
        <f t="shared" si="337"/>
        <v>29210</v>
      </c>
    </row>
    <row r="483" spans="1:18" x14ac:dyDescent="0.2">
      <c r="A483" s="8">
        <v>12700</v>
      </c>
      <c r="B483" s="77" t="str">
        <f t="shared" si="321"/>
        <v>Dungog</v>
      </c>
      <c r="C483" s="9" t="str">
        <f t="shared" si="322"/>
        <v>Hunter</v>
      </c>
      <c r="D483" s="45" t="str">
        <f t="shared" si="323"/>
        <v>R</v>
      </c>
      <c r="E483" s="10" t="str">
        <f t="shared" si="324"/>
        <v>HJO</v>
      </c>
      <c r="F483" s="10">
        <f t="shared" si="325"/>
        <v>9767</v>
      </c>
      <c r="G483" s="10">
        <f t="shared" si="326"/>
        <v>5441</v>
      </c>
      <c r="H483" s="10">
        <f t="shared" si="327"/>
        <v>1.7950744348465355</v>
      </c>
      <c r="I483" s="10">
        <f t="shared" si="328"/>
        <v>2250</v>
      </c>
      <c r="J483" s="10">
        <f t="shared" si="329"/>
        <v>4.3</v>
      </c>
      <c r="K483" s="10">
        <f t="shared" si="330"/>
        <v>0</v>
      </c>
      <c r="L483" s="10">
        <f t="shared" si="331"/>
        <v>0</v>
      </c>
      <c r="M483" s="10">
        <f t="shared" si="332"/>
        <v>3911</v>
      </c>
      <c r="N483" s="10">
        <f t="shared" si="333"/>
        <v>3884</v>
      </c>
      <c r="O483" s="10">
        <f t="shared" si="334"/>
        <v>0</v>
      </c>
      <c r="P483" s="10">
        <f t="shared" si="335"/>
        <v>0</v>
      </c>
      <c r="Q483" s="10">
        <f t="shared" si="336"/>
        <v>5441</v>
      </c>
      <c r="R483" s="10">
        <f t="shared" si="337"/>
        <v>5441</v>
      </c>
    </row>
    <row r="484" spans="1:18" x14ac:dyDescent="0.2">
      <c r="A484" s="8">
        <v>14650</v>
      </c>
      <c r="B484" s="77" t="str">
        <f t="shared" si="321"/>
        <v>Lake Macquarie</v>
      </c>
      <c r="C484" s="9" t="str">
        <f t="shared" si="322"/>
        <v>Hunter</v>
      </c>
      <c r="D484" s="45" t="str">
        <f t="shared" si="323"/>
        <v>S</v>
      </c>
      <c r="E484" s="10" t="str">
        <f t="shared" si="324"/>
        <v>HJO</v>
      </c>
      <c r="F484" s="10">
        <f t="shared" si="325"/>
        <v>219249</v>
      </c>
      <c r="G484" s="10">
        <f t="shared" si="326"/>
        <v>88626</v>
      </c>
      <c r="H484" s="10">
        <f t="shared" si="327"/>
        <v>2.4738677137634553</v>
      </c>
      <c r="I484" s="10">
        <f t="shared" si="328"/>
        <v>648.6</v>
      </c>
      <c r="J484" s="10">
        <f t="shared" si="329"/>
        <v>338</v>
      </c>
      <c r="K484" s="10">
        <f t="shared" si="330"/>
        <v>492</v>
      </c>
      <c r="L484" s="10">
        <f t="shared" si="331"/>
        <v>0</v>
      </c>
      <c r="M484" s="10">
        <f t="shared" si="332"/>
        <v>85853</v>
      </c>
      <c r="N484" s="10">
        <f t="shared" si="333"/>
        <v>86426</v>
      </c>
      <c r="O484" s="10">
        <f t="shared" si="334"/>
        <v>0</v>
      </c>
      <c r="P484" s="10">
        <f t="shared" si="335"/>
        <v>86426</v>
      </c>
      <c r="Q484" s="10">
        <f t="shared" si="336"/>
        <v>88626</v>
      </c>
      <c r="R484" s="10">
        <f t="shared" si="337"/>
        <v>88626</v>
      </c>
    </row>
    <row r="485" spans="1:18" x14ac:dyDescent="0.2">
      <c r="A485" s="8">
        <v>15050</v>
      </c>
      <c r="B485" s="77" t="str">
        <f t="shared" si="321"/>
        <v>Maitland</v>
      </c>
      <c r="C485" s="9" t="str">
        <f t="shared" si="322"/>
        <v>Hunter</v>
      </c>
      <c r="D485" s="45" t="str">
        <f t="shared" si="323"/>
        <v>S</v>
      </c>
      <c r="E485" s="10" t="str">
        <f t="shared" si="324"/>
        <v>HJO</v>
      </c>
      <c r="F485" s="10">
        <f t="shared" si="325"/>
        <v>95957</v>
      </c>
      <c r="G485" s="10">
        <f t="shared" si="326"/>
        <v>36938</v>
      </c>
      <c r="H485" s="10">
        <f t="shared" si="327"/>
        <v>2.597785478369159</v>
      </c>
      <c r="I485" s="10">
        <f t="shared" si="328"/>
        <v>391.5</v>
      </c>
      <c r="J485" s="10">
        <f t="shared" si="329"/>
        <v>245.1</v>
      </c>
      <c r="K485" s="10">
        <f t="shared" si="330"/>
        <v>530.35</v>
      </c>
      <c r="L485" s="10">
        <f t="shared" si="331"/>
        <v>0</v>
      </c>
      <c r="M485" s="10">
        <f t="shared" si="332"/>
        <v>34593</v>
      </c>
      <c r="N485" s="10">
        <f t="shared" si="333"/>
        <v>34593</v>
      </c>
      <c r="O485" s="10">
        <f t="shared" si="334"/>
        <v>34593</v>
      </c>
      <c r="P485" s="10">
        <f t="shared" si="335"/>
        <v>0</v>
      </c>
      <c r="Q485" s="10">
        <f t="shared" si="336"/>
        <v>36938</v>
      </c>
      <c r="R485" s="10">
        <f t="shared" si="337"/>
        <v>36938</v>
      </c>
    </row>
    <row r="486" spans="1:18" x14ac:dyDescent="0.2">
      <c r="A486" s="8">
        <v>15650</v>
      </c>
      <c r="B486" s="77" t="str">
        <f t="shared" si="321"/>
        <v>Muswellbrook</v>
      </c>
      <c r="C486" s="9" t="str">
        <f t="shared" si="322"/>
        <v>Hunter</v>
      </c>
      <c r="D486" s="45" t="str">
        <f t="shared" si="323"/>
        <v>R</v>
      </c>
      <c r="E486" s="10" t="str">
        <f t="shared" si="324"/>
        <v>HJO</v>
      </c>
      <c r="F486" s="10">
        <f t="shared" si="325"/>
        <v>16778</v>
      </c>
      <c r="G486" s="10">
        <f t="shared" si="326"/>
        <v>8235</v>
      </c>
      <c r="H486" s="10">
        <f t="shared" si="327"/>
        <v>2.0374013357619916</v>
      </c>
      <c r="I486" s="10">
        <f t="shared" si="328"/>
        <v>3404.9</v>
      </c>
      <c r="J486" s="10">
        <f t="shared" si="329"/>
        <v>4.9000000000000004</v>
      </c>
      <c r="K486" s="10">
        <f t="shared" si="330"/>
        <v>438</v>
      </c>
      <c r="L486" s="10">
        <f t="shared" si="331"/>
        <v>0</v>
      </c>
      <c r="M486" s="10">
        <f t="shared" si="332"/>
        <v>7142</v>
      </c>
      <c r="N486" s="10">
        <f t="shared" si="333"/>
        <v>6473</v>
      </c>
      <c r="O486" s="10">
        <f t="shared" si="334"/>
        <v>6048</v>
      </c>
      <c r="P486" s="10">
        <f t="shared" si="335"/>
        <v>0</v>
      </c>
      <c r="Q486" s="10">
        <f t="shared" si="336"/>
        <v>8235</v>
      </c>
      <c r="R486" s="10">
        <f t="shared" si="337"/>
        <v>8235</v>
      </c>
    </row>
    <row r="487" spans="1:18" x14ac:dyDescent="0.2">
      <c r="A487" s="8">
        <v>15900</v>
      </c>
      <c r="B487" s="77" t="str">
        <f t="shared" si="321"/>
        <v>Newcastle</v>
      </c>
      <c r="C487" s="9" t="str">
        <f t="shared" si="322"/>
        <v>Hunter</v>
      </c>
      <c r="D487" s="45" t="str">
        <f t="shared" si="323"/>
        <v>S</v>
      </c>
      <c r="E487" s="10" t="str">
        <f t="shared" si="324"/>
        <v>HJO</v>
      </c>
      <c r="F487" s="10">
        <f t="shared" si="325"/>
        <v>174294</v>
      </c>
      <c r="G487" s="10">
        <f t="shared" si="326"/>
        <v>74452</v>
      </c>
      <c r="H487" s="10">
        <f t="shared" si="327"/>
        <v>2.3410250899908664</v>
      </c>
      <c r="I487" s="10">
        <f t="shared" si="328"/>
        <v>186.7</v>
      </c>
      <c r="J487" s="10">
        <f t="shared" si="329"/>
        <v>933.4</v>
      </c>
      <c r="K487" s="10">
        <f t="shared" si="330"/>
        <v>460</v>
      </c>
      <c r="L487" s="10">
        <f t="shared" si="331"/>
        <v>0</v>
      </c>
      <c r="M487" s="10">
        <f t="shared" si="332"/>
        <v>70121</v>
      </c>
      <c r="N487" s="10">
        <f t="shared" si="333"/>
        <v>51814</v>
      </c>
      <c r="O487" s="10">
        <f t="shared" si="334"/>
        <v>69687</v>
      </c>
      <c r="P487" s="10">
        <f t="shared" si="335"/>
        <v>0</v>
      </c>
      <c r="Q487" s="10">
        <f t="shared" si="336"/>
        <v>74452</v>
      </c>
      <c r="R487" s="10">
        <f t="shared" si="337"/>
        <v>74452</v>
      </c>
    </row>
    <row r="488" spans="1:18" x14ac:dyDescent="0.2">
      <c r="A488" s="8">
        <v>16400</v>
      </c>
      <c r="B488" s="77" t="str">
        <f t="shared" si="321"/>
        <v>Port Stephens</v>
      </c>
      <c r="C488" s="9" t="str">
        <f t="shared" si="322"/>
        <v>Hunter</v>
      </c>
      <c r="D488" s="45" t="str">
        <f t="shared" si="323"/>
        <v>S</v>
      </c>
      <c r="E488" s="10" t="str">
        <f t="shared" si="324"/>
        <v>HJO</v>
      </c>
      <c r="F488" s="10">
        <f t="shared" si="325"/>
        <v>77748</v>
      </c>
      <c r="G488" s="10">
        <f t="shared" si="326"/>
        <v>35345</v>
      </c>
      <c r="H488" s="10">
        <f t="shared" si="327"/>
        <v>2.1996887820059414</v>
      </c>
      <c r="I488" s="10">
        <f t="shared" si="328"/>
        <v>858.4</v>
      </c>
      <c r="J488" s="10">
        <f t="shared" si="329"/>
        <v>90.6</v>
      </c>
      <c r="K488" s="10">
        <f t="shared" si="330"/>
        <v>635</v>
      </c>
      <c r="L488" s="10">
        <f t="shared" si="331"/>
        <v>0</v>
      </c>
      <c r="M488" s="10">
        <f t="shared" si="332"/>
        <v>34014</v>
      </c>
      <c r="N488" s="10">
        <f t="shared" si="333"/>
        <v>34014</v>
      </c>
      <c r="O488" s="10">
        <f t="shared" si="334"/>
        <v>0</v>
      </c>
      <c r="P488" s="10">
        <f t="shared" si="335"/>
        <v>0</v>
      </c>
      <c r="Q488" s="10">
        <f t="shared" si="336"/>
        <v>35345</v>
      </c>
      <c r="R488" s="10">
        <f t="shared" si="337"/>
        <v>35345</v>
      </c>
    </row>
    <row r="489" spans="1:18" x14ac:dyDescent="0.2">
      <c r="A489" s="8">
        <v>17000</v>
      </c>
      <c r="B489" s="77" t="str">
        <f t="shared" si="321"/>
        <v>Singleton</v>
      </c>
      <c r="C489" s="9" t="str">
        <f t="shared" si="322"/>
        <v>Hunter</v>
      </c>
      <c r="D489" s="45" t="str">
        <f t="shared" si="323"/>
        <v>R</v>
      </c>
      <c r="E489" s="10" t="str">
        <f t="shared" si="324"/>
        <v>HJO</v>
      </c>
      <c r="F489" s="10">
        <f t="shared" si="325"/>
        <v>25332</v>
      </c>
      <c r="G489" s="10">
        <f t="shared" si="326"/>
        <v>11507</v>
      </c>
      <c r="H489" s="10">
        <f t="shared" si="327"/>
        <v>2.2014426001564265</v>
      </c>
      <c r="I489" s="10">
        <f t="shared" si="328"/>
        <v>4892.7</v>
      </c>
      <c r="J489" s="10">
        <f t="shared" si="329"/>
        <v>5.2</v>
      </c>
      <c r="K489" s="10">
        <f t="shared" si="330"/>
        <v>550</v>
      </c>
      <c r="L489" s="10">
        <f t="shared" si="331"/>
        <v>0</v>
      </c>
      <c r="M489" s="10">
        <f t="shared" si="332"/>
        <v>9412</v>
      </c>
      <c r="N489" s="10">
        <f t="shared" si="333"/>
        <v>8520</v>
      </c>
      <c r="O489" s="10">
        <f t="shared" si="334"/>
        <v>8254</v>
      </c>
      <c r="P489" s="10">
        <f t="shared" si="335"/>
        <v>0</v>
      </c>
      <c r="Q489" s="10">
        <f t="shared" si="336"/>
        <v>11507</v>
      </c>
      <c r="R489" s="10">
        <f t="shared" si="337"/>
        <v>11507</v>
      </c>
    </row>
    <row r="490" spans="1:18" ht="13.5" thickBot="1" x14ac:dyDescent="0.25">
      <c r="A490" s="8">
        <v>17620</v>
      </c>
      <c r="B490" s="77" t="str">
        <f t="shared" si="321"/>
        <v>Upper Hunter Shire</v>
      </c>
      <c r="C490" s="9" t="str">
        <f t="shared" si="322"/>
        <v>Hunter</v>
      </c>
      <c r="D490" s="45" t="str">
        <f t="shared" si="323"/>
        <v>R</v>
      </c>
      <c r="E490" s="10" t="str">
        <f t="shared" si="324"/>
        <v>HJO</v>
      </c>
      <c r="F490" s="10">
        <f t="shared" si="325"/>
        <v>14338</v>
      </c>
      <c r="G490" s="10">
        <f t="shared" si="326"/>
        <v>6348</v>
      </c>
      <c r="H490" s="10">
        <f t="shared" si="327"/>
        <v>2.2586641461877757</v>
      </c>
      <c r="I490" s="10">
        <f t="shared" si="328"/>
        <v>8096.1</v>
      </c>
      <c r="J490" s="10">
        <f t="shared" si="329"/>
        <v>1.8</v>
      </c>
      <c r="K490" s="10">
        <f t="shared" si="330"/>
        <v>714</v>
      </c>
      <c r="L490" s="10">
        <f t="shared" si="331"/>
        <v>0</v>
      </c>
      <c r="M490" s="10">
        <f t="shared" si="332"/>
        <v>5135</v>
      </c>
      <c r="N490" s="10">
        <f t="shared" si="333"/>
        <v>4987</v>
      </c>
      <c r="O490" s="10">
        <f t="shared" si="334"/>
        <v>0</v>
      </c>
      <c r="P490" s="10">
        <f t="shared" si="335"/>
        <v>0</v>
      </c>
      <c r="Q490" s="10">
        <f t="shared" si="336"/>
        <v>6348</v>
      </c>
      <c r="R490" s="10">
        <f t="shared" si="337"/>
        <v>6348</v>
      </c>
    </row>
    <row r="491" spans="1:18" ht="13.5" thickTop="1" x14ac:dyDescent="0.2">
      <c r="A491" s="11"/>
      <c r="B491" s="11"/>
      <c r="C491" s="11" t="s">
        <v>26</v>
      </c>
      <c r="D491" s="11"/>
      <c r="E491" s="12"/>
      <c r="F491" s="13">
        <f>COUNTIF(F481:F490,"&gt;0")</f>
        <v>10</v>
      </c>
      <c r="G491" s="13">
        <f t="shared" ref="G491:R491" si="338">COUNTIF(G481:G490,"&gt;0")</f>
        <v>10</v>
      </c>
      <c r="H491" s="13">
        <f t="shared" si="338"/>
        <v>10</v>
      </c>
      <c r="I491" s="13">
        <f t="shared" si="338"/>
        <v>10</v>
      </c>
      <c r="J491" s="13">
        <f t="shared" si="338"/>
        <v>10</v>
      </c>
      <c r="K491" s="13">
        <f t="shared" si="338"/>
        <v>9</v>
      </c>
      <c r="L491" s="13">
        <f t="shared" si="338"/>
        <v>0</v>
      </c>
      <c r="M491" s="13">
        <f t="shared" si="338"/>
        <v>10</v>
      </c>
      <c r="N491" s="13">
        <f t="shared" si="338"/>
        <v>10</v>
      </c>
      <c r="O491" s="13">
        <f t="shared" si="338"/>
        <v>6</v>
      </c>
      <c r="P491" s="13">
        <f t="shared" si="338"/>
        <v>1</v>
      </c>
      <c r="Q491" s="13">
        <f t="shared" si="338"/>
        <v>9</v>
      </c>
      <c r="R491" s="13">
        <f t="shared" si="338"/>
        <v>10</v>
      </c>
    </row>
    <row r="492" spans="1:18" x14ac:dyDescent="0.2">
      <c r="A492" s="8"/>
      <c r="B492" s="8"/>
      <c r="C492" s="8" t="s">
        <v>27</v>
      </c>
      <c r="D492" s="8"/>
      <c r="E492" s="69"/>
      <c r="F492" s="15">
        <f>SUM(F481:F490)</f>
        <v>1052988</v>
      </c>
      <c r="G492" s="15">
        <f t="shared" ref="G492:R492" si="339">SUM(G481:G490)</f>
        <v>446831</v>
      </c>
      <c r="H492" s="93">
        <f>F492/G492</f>
        <v>2.3565688146077601</v>
      </c>
      <c r="I492" s="15">
        <f t="shared" si="339"/>
        <v>24375.1</v>
      </c>
      <c r="J492" s="15">
        <f t="shared" si="339"/>
        <v>1867.1</v>
      </c>
      <c r="K492" s="15">
        <f t="shared" si="339"/>
        <v>4984.3500000000004</v>
      </c>
      <c r="L492" s="15">
        <f t="shared" si="339"/>
        <v>0</v>
      </c>
      <c r="M492" s="15">
        <f t="shared" si="339"/>
        <v>405011</v>
      </c>
      <c r="N492" s="15">
        <f t="shared" si="339"/>
        <v>386224</v>
      </c>
      <c r="O492" s="15">
        <f t="shared" si="339"/>
        <v>270045</v>
      </c>
      <c r="P492" s="15">
        <f t="shared" si="339"/>
        <v>86426</v>
      </c>
      <c r="Q492" s="15">
        <f t="shared" si="339"/>
        <v>417621</v>
      </c>
      <c r="R492" s="15">
        <f t="shared" si="339"/>
        <v>446831</v>
      </c>
    </row>
    <row r="493" spans="1:18" x14ac:dyDescent="0.2">
      <c r="A493" s="8"/>
      <c r="B493" s="8"/>
      <c r="C493" s="8" t="s">
        <v>28</v>
      </c>
      <c r="D493" s="8"/>
      <c r="E493" s="69"/>
      <c r="F493" s="10">
        <f>MIN(F481:F490)</f>
        <v>9767</v>
      </c>
      <c r="G493" s="10">
        <f t="shared" ref="G493:R493" si="340">MIN(G481:G490)</f>
        <v>5441</v>
      </c>
      <c r="H493" s="10">
        <f t="shared" si="340"/>
        <v>1.7950744348465355</v>
      </c>
      <c r="I493" s="10">
        <f t="shared" si="340"/>
        <v>186.7</v>
      </c>
      <c r="J493" s="10">
        <f t="shared" si="340"/>
        <v>1.8</v>
      </c>
      <c r="K493" s="10">
        <f t="shared" si="340"/>
        <v>0</v>
      </c>
      <c r="L493" s="10">
        <f t="shared" si="340"/>
        <v>0</v>
      </c>
      <c r="M493" s="10">
        <f t="shared" si="340"/>
        <v>3911</v>
      </c>
      <c r="N493" s="10">
        <f t="shared" si="340"/>
        <v>3884</v>
      </c>
      <c r="O493" s="10">
        <f t="shared" si="340"/>
        <v>0</v>
      </c>
      <c r="P493" s="10">
        <f t="shared" si="340"/>
        <v>0</v>
      </c>
      <c r="Q493" s="10">
        <f t="shared" si="340"/>
        <v>0</v>
      </c>
      <c r="R493" s="10">
        <f t="shared" si="340"/>
        <v>5441</v>
      </c>
    </row>
    <row r="494" spans="1:18" x14ac:dyDescent="0.2">
      <c r="A494" s="8"/>
      <c r="B494" s="8"/>
      <c r="C494" s="8" t="s">
        <v>29</v>
      </c>
      <c r="D494" s="8"/>
      <c r="E494" s="69"/>
      <c r="F494" s="10">
        <f>MAX(F481:F490)</f>
        <v>351934</v>
      </c>
      <c r="G494" s="10">
        <f t="shared" ref="G494:R494" si="341">MAX(G481:G490)</f>
        <v>150729</v>
      </c>
      <c r="H494" s="10">
        <f t="shared" si="341"/>
        <v>2.597785478369159</v>
      </c>
      <c r="I494" s="10">
        <f t="shared" si="341"/>
        <v>8096.1</v>
      </c>
      <c r="J494" s="10">
        <f t="shared" si="341"/>
        <v>933.4</v>
      </c>
      <c r="K494" s="10">
        <f t="shared" si="341"/>
        <v>714</v>
      </c>
      <c r="L494" s="10">
        <f t="shared" si="341"/>
        <v>0</v>
      </c>
      <c r="M494" s="10">
        <f t="shared" si="341"/>
        <v>129623</v>
      </c>
      <c r="N494" s="10">
        <f t="shared" si="341"/>
        <v>130046</v>
      </c>
      <c r="O494" s="10">
        <f t="shared" si="341"/>
        <v>126259</v>
      </c>
      <c r="P494" s="10">
        <f t="shared" si="341"/>
        <v>86426</v>
      </c>
      <c r="Q494" s="10">
        <f t="shared" si="341"/>
        <v>150729</v>
      </c>
      <c r="R494" s="10">
        <f t="shared" si="341"/>
        <v>150729</v>
      </c>
    </row>
    <row r="495" spans="1:18" x14ac:dyDescent="0.2">
      <c r="A495" s="8"/>
      <c r="B495" s="8"/>
      <c r="C495" s="8" t="s">
        <v>30</v>
      </c>
      <c r="D495" s="8"/>
      <c r="E495" s="69"/>
      <c r="F495" s="10">
        <f>AVERAGE(F481:F490)</f>
        <v>105298.8</v>
      </c>
      <c r="G495" s="10">
        <f t="shared" ref="G495:R495" si="342">AVERAGE(G481:G490)</f>
        <v>44683.1</v>
      </c>
      <c r="H495" s="10">
        <f t="shared" si="342"/>
        <v>2.2553796554300467</v>
      </c>
      <c r="I495" s="10">
        <f t="shared" si="342"/>
        <v>2437.5099999999998</v>
      </c>
      <c r="J495" s="10">
        <f t="shared" si="342"/>
        <v>186.70999999999998</v>
      </c>
      <c r="K495" s="10">
        <f t="shared" si="342"/>
        <v>498.43500000000006</v>
      </c>
      <c r="L495" s="10">
        <f t="shared" si="342"/>
        <v>0</v>
      </c>
      <c r="M495" s="10">
        <f t="shared" si="342"/>
        <v>40501.1</v>
      </c>
      <c r="N495" s="10">
        <f t="shared" si="342"/>
        <v>38622.400000000001</v>
      </c>
      <c r="O495" s="10">
        <f t="shared" si="342"/>
        <v>27004.5</v>
      </c>
      <c r="P495" s="10">
        <f t="shared" si="342"/>
        <v>8642.6</v>
      </c>
      <c r="Q495" s="10">
        <f t="shared" si="342"/>
        <v>41762.1</v>
      </c>
      <c r="R495" s="10">
        <f t="shared" si="342"/>
        <v>44683.1</v>
      </c>
    </row>
    <row r="496" spans="1:18" ht="13.5" thickBot="1" x14ac:dyDescent="0.25">
      <c r="A496" s="16"/>
      <c r="B496" s="16"/>
      <c r="C496" s="16" t="s">
        <v>31</v>
      </c>
      <c r="D496" s="16"/>
      <c r="E496" s="69"/>
      <c r="F496" s="18">
        <f>MEDIAN(F481:F490)</f>
        <v>72669.5</v>
      </c>
      <c r="G496" s="18">
        <f t="shared" ref="G496:R496" si="343">MEDIAN(G481:G490)</f>
        <v>32277.5</v>
      </c>
      <c r="H496" s="18">
        <f t="shared" si="343"/>
        <v>2.286315982713881</v>
      </c>
      <c r="I496" s="18">
        <f t="shared" si="343"/>
        <v>1823.1</v>
      </c>
      <c r="J496" s="18">
        <f t="shared" si="343"/>
        <v>62.5</v>
      </c>
      <c r="K496" s="18">
        <f t="shared" si="343"/>
        <v>525.17499999999995</v>
      </c>
      <c r="L496" s="18">
        <f t="shared" si="343"/>
        <v>0</v>
      </c>
      <c r="M496" s="18">
        <f t="shared" si="343"/>
        <v>29610.5</v>
      </c>
      <c r="N496" s="18">
        <f t="shared" si="343"/>
        <v>29740.5</v>
      </c>
      <c r="O496" s="18">
        <f t="shared" si="343"/>
        <v>7151</v>
      </c>
      <c r="P496" s="18">
        <f t="shared" si="343"/>
        <v>0</v>
      </c>
      <c r="Q496" s="18">
        <f t="shared" si="343"/>
        <v>23426</v>
      </c>
      <c r="R496" s="18">
        <f t="shared" si="343"/>
        <v>32277.5</v>
      </c>
    </row>
    <row r="497" spans="1:18" ht="13.5" thickTop="1" x14ac:dyDescent="0.2">
      <c r="B497"/>
      <c r="C497" s="5"/>
      <c r="D497" s="5"/>
    </row>
    <row r="498" spans="1:18" ht="13.5" thickBot="1" x14ac:dyDescent="0.25">
      <c r="A498" s="25"/>
      <c r="B498" s="25"/>
      <c r="C498" s="27" t="s">
        <v>17</v>
      </c>
      <c r="D498" s="27"/>
    </row>
    <row r="499" spans="1:18" ht="13.5" thickTop="1" x14ac:dyDescent="0.2">
      <c r="A499" s="8">
        <v>10500</v>
      </c>
      <c r="B499" s="77" t="str">
        <f t="shared" ref="B499:B509" si="344">VLOOKUP($A499,$A$5:$K$132,2,FALSE)</f>
        <v>Bayside</v>
      </c>
      <c r="C499" s="9" t="str">
        <f t="shared" ref="C499:C509" si="345">VLOOKUP($A499,$A$5:$K$133,3,FALSE)</f>
        <v>SSROC</v>
      </c>
      <c r="D499" s="45" t="str">
        <f t="shared" ref="D499:D509" si="346">VLOOKUP($A499,$A$5:$K$133,4,FALSE)</f>
        <v>S</v>
      </c>
      <c r="E499" s="10">
        <f t="shared" ref="E499:E509" si="347">VLOOKUP($A499,$A$5:$R$132,5,FALSE)</f>
        <v>0</v>
      </c>
      <c r="F499" s="10">
        <f t="shared" ref="F499:F509" si="348">VLOOKUP($A499,$A$5:$R$132,6,FALSE)</f>
        <v>182987</v>
      </c>
      <c r="G499" s="10">
        <f t="shared" ref="G499:G509" si="349">VLOOKUP($A499,$A$5:$R$132,7,FALSE)</f>
        <v>67952</v>
      </c>
      <c r="H499" s="10">
        <f t="shared" ref="H499:H509" si="350">VLOOKUP($A499,$A$5:$R$132,8,FALSE)</f>
        <v>2.6928861549328937</v>
      </c>
      <c r="I499" s="10">
        <f t="shared" ref="I499:I509" si="351">VLOOKUP($A499,$A$5:$R$132,9,FALSE)</f>
        <v>50.6</v>
      </c>
      <c r="J499" s="10">
        <f t="shared" ref="J499:J509" si="352">VLOOKUP($A499,$A$5:$R$132,10,FALSE)</f>
        <v>3614.9</v>
      </c>
      <c r="K499" s="10">
        <f t="shared" ref="K499:K509" si="353">VLOOKUP($A499,$A$5:$R$132,11,FALSE)</f>
        <v>527.01</v>
      </c>
      <c r="L499" s="10">
        <f t="shared" ref="L499:L509" si="354">VLOOKUP($A499,$A$4:$R$132,12,FALSE)</f>
        <v>0</v>
      </c>
      <c r="M499" s="10">
        <f t="shared" ref="M499:M509" si="355">VLOOKUP($A499,$A$4:$R$132,13,FALSE)</f>
        <v>66656</v>
      </c>
      <c r="N499" s="10">
        <f t="shared" ref="N499:N509" si="356">VLOOKUP($A499,$A$4:$R$132,14,FALSE)</f>
        <v>64883</v>
      </c>
      <c r="O499" s="10">
        <f t="shared" ref="O499:O509" si="357">VLOOKUP($A499,$A$4:$R$132,15,FALSE)</f>
        <v>16163</v>
      </c>
      <c r="P499" s="10">
        <f t="shared" ref="P499:P509" si="358">VLOOKUP($A499,$A$4:$R$132,16,FALSE)</f>
        <v>0</v>
      </c>
      <c r="Q499" s="10">
        <f t="shared" ref="Q499:Q509" si="359">VLOOKUP($A499,$A$4:$R$132,17,FALSE)</f>
        <v>67952</v>
      </c>
      <c r="R499" s="10">
        <f t="shared" ref="R499:R509" si="360">VLOOKUP($A499,$A$4:$R$132,18,FALSE)</f>
        <v>67952</v>
      </c>
    </row>
    <row r="500" spans="1:18" x14ac:dyDescent="0.2">
      <c r="A500" s="8">
        <v>11300</v>
      </c>
      <c r="B500" s="77" t="str">
        <f t="shared" si="344"/>
        <v>Burwood</v>
      </c>
      <c r="C500" s="9" t="str">
        <f t="shared" si="345"/>
        <v>SSROC</v>
      </c>
      <c r="D500" s="45" t="str">
        <f t="shared" si="346"/>
        <v>S</v>
      </c>
      <c r="E500" s="10">
        <f t="shared" si="347"/>
        <v>0</v>
      </c>
      <c r="F500" s="10">
        <f t="shared" si="348"/>
        <v>42498</v>
      </c>
      <c r="G500" s="10">
        <f t="shared" si="349"/>
        <v>14954</v>
      </c>
      <c r="H500" s="10">
        <f t="shared" si="350"/>
        <v>2.8419152066336766</v>
      </c>
      <c r="I500" s="10">
        <f t="shared" si="351"/>
        <v>7.1</v>
      </c>
      <c r="J500" s="10">
        <f t="shared" si="352"/>
        <v>5962</v>
      </c>
      <c r="K500" s="10">
        <f t="shared" si="353"/>
        <v>547.75</v>
      </c>
      <c r="L500" s="10">
        <f t="shared" si="354"/>
        <v>0</v>
      </c>
      <c r="M500" s="10">
        <f t="shared" si="355"/>
        <v>14871</v>
      </c>
      <c r="N500" s="10">
        <f t="shared" si="356"/>
        <v>14869</v>
      </c>
      <c r="O500" s="10">
        <f t="shared" si="357"/>
        <v>14209</v>
      </c>
      <c r="P500" s="10">
        <f t="shared" si="358"/>
        <v>660</v>
      </c>
      <c r="Q500" s="10">
        <f t="shared" si="359"/>
        <v>14954</v>
      </c>
      <c r="R500" s="10">
        <f t="shared" si="360"/>
        <v>14954</v>
      </c>
    </row>
    <row r="501" spans="1:18" x14ac:dyDescent="0.2">
      <c r="A501" s="8">
        <v>11520</v>
      </c>
      <c r="B501" s="77" t="str">
        <f t="shared" si="344"/>
        <v>Canada Bay</v>
      </c>
      <c r="C501" s="9" t="str">
        <f t="shared" si="345"/>
        <v>SSROC</v>
      </c>
      <c r="D501" s="45" t="str">
        <f t="shared" si="346"/>
        <v>S</v>
      </c>
      <c r="E501" s="10">
        <f t="shared" si="347"/>
        <v>0</v>
      </c>
      <c r="F501" s="10">
        <f t="shared" si="348"/>
        <v>91385</v>
      </c>
      <c r="G501" s="10">
        <f t="shared" si="349"/>
        <v>38402</v>
      </c>
      <c r="H501" s="10">
        <f t="shared" si="350"/>
        <v>2.37969376594969</v>
      </c>
      <c r="I501" s="10">
        <f t="shared" si="351"/>
        <v>19.899999999999999</v>
      </c>
      <c r="J501" s="10">
        <f t="shared" si="352"/>
        <v>4586.7</v>
      </c>
      <c r="K501" s="10">
        <f t="shared" si="353"/>
        <v>430</v>
      </c>
      <c r="L501" s="10">
        <f t="shared" si="354"/>
        <v>0</v>
      </c>
      <c r="M501" s="10">
        <f t="shared" si="355"/>
        <v>38416</v>
      </c>
      <c r="N501" s="10">
        <f t="shared" si="356"/>
        <v>38617</v>
      </c>
      <c r="O501" s="10">
        <f t="shared" si="357"/>
        <v>38402</v>
      </c>
      <c r="P501" s="10">
        <f t="shared" si="358"/>
        <v>0</v>
      </c>
      <c r="Q501" s="10">
        <f t="shared" si="359"/>
        <v>38402</v>
      </c>
      <c r="R501" s="10">
        <f t="shared" si="360"/>
        <v>38402</v>
      </c>
    </row>
    <row r="502" spans="1:18" x14ac:dyDescent="0.2">
      <c r="A502" s="8">
        <v>11570</v>
      </c>
      <c r="B502" s="77" t="str">
        <f t="shared" si="344"/>
        <v>Canterbury-Bankstown</v>
      </c>
      <c r="C502" s="9" t="str">
        <f t="shared" si="345"/>
        <v>SSROC</v>
      </c>
      <c r="D502" s="45" t="str">
        <f t="shared" si="346"/>
        <v>S</v>
      </c>
      <c r="E502" s="10">
        <f t="shared" si="347"/>
        <v>0</v>
      </c>
      <c r="F502" s="10">
        <f t="shared" si="348"/>
        <v>379829</v>
      </c>
      <c r="G502" s="10">
        <f t="shared" si="349"/>
        <v>136316</v>
      </c>
      <c r="H502" s="10">
        <f t="shared" si="350"/>
        <v>2.7863860441914374</v>
      </c>
      <c r="I502" s="10">
        <f t="shared" si="351"/>
        <v>110.2</v>
      </c>
      <c r="J502" s="10">
        <f t="shared" si="352"/>
        <v>3445.6</v>
      </c>
      <c r="K502" s="10">
        <f t="shared" si="353"/>
        <v>585</v>
      </c>
      <c r="L502" s="10">
        <f t="shared" si="354"/>
        <v>0</v>
      </c>
      <c r="M502" s="10">
        <f t="shared" si="355"/>
        <v>135954</v>
      </c>
      <c r="N502" s="10">
        <f t="shared" si="356"/>
        <v>135954</v>
      </c>
      <c r="O502" s="10">
        <f t="shared" si="357"/>
        <v>134954</v>
      </c>
      <c r="P502" s="10">
        <f t="shared" si="358"/>
        <v>0</v>
      </c>
      <c r="Q502" s="10">
        <f t="shared" si="359"/>
        <v>136316</v>
      </c>
      <c r="R502" s="10">
        <f t="shared" si="360"/>
        <v>136316</v>
      </c>
    </row>
    <row r="503" spans="1:18" x14ac:dyDescent="0.2">
      <c r="A503" s="8">
        <v>12930</v>
      </c>
      <c r="B503" s="77" t="str">
        <f t="shared" si="344"/>
        <v>Georges River</v>
      </c>
      <c r="C503" s="9" t="str">
        <f t="shared" si="345"/>
        <v>SSROC</v>
      </c>
      <c r="D503" s="45" t="str">
        <f t="shared" si="346"/>
        <v>S</v>
      </c>
      <c r="E503" s="10">
        <f t="shared" si="347"/>
        <v>0</v>
      </c>
      <c r="F503" s="10">
        <f t="shared" si="348"/>
        <v>158051</v>
      </c>
      <c r="G503" s="10">
        <f t="shared" si="349"/>
        <v>60396</v>
      </c>
      <c r="H503" s="10">
        <f t="shared" si="350"/>
        <v>2.6169117160076825</v>
      </c>
      <c r="I503" s="10">
        <f t="shared" si="351"/>
        <v>38.299999999999997</v>
      </c>
      <c r="J503" s="10">
        <f t="shared" si="352"/>
        <v>4122.6000000000004</v>
      </c>
      <c r="K503" s="10">
        <f t="shared" si="353"/>
        <v>511</v>
      </c>
      <c r="L503" s="10">
        <f t="shared" si="354"/>
        <v>0</v>
      </c>
      <c r="M503" s="10">
        <f t="shared" si="355"/>
        <v>37176</v>
      </c>
      <c r="N503" s="10">
        <f t="shared" si="356"/>
        <v>45383</v>
      </c>
      <c r="O503" s="10">
        <f t="shared" si="357"/>
        <v>36463</v>
      </c>
      <c r="P503" s="10">
        <f t="shared" si="358"/>
        <v>0</v>
      </c>
      <c r="Q503" s="10">
        <f t="shared" si="359"/>
        <v>60396</v>
      </c>
      <c r="R503" s="10">
        <f t="shared" si="360"/>
        <v>60396</v>
      </c>
    </row>
    <row r="504" spans="1:18" x14ac:dyDescent="0.2">
      <c r="A504" s="8">
        <v>14170</v>
      </c>
      <c r="B504" s="77" t="str">
        <f t="shared" si="344"/>
        <v>Inner West</v>
      </c>
      <c r="C504" s="9" t="str">
        <f t="shared" si="345"/>
        <v>SSROC</v>
      </c>
      <c r="D504" s="45" t="str">
        <f t="shared" si="346"/>
        <v>S</v>
      </c>
      <c r="E504" s="10">
        <f t="shared" si="347"/>
        <v>0</v>
      </c>
      <c r="F504" s="10">
        <f t="shared" si="348"/>
        <v>188325</v>
      </c>
      <c r="G504" s="10">
        <f t="shared" si="349"/>
        <v>88919</v>
      </c>
      <c r="H504" s="10">
        <f t="shared" si="350"/>
        <v>2.1179387982320987</v>
      </c>
      <c r="I504" s="10">
        <f t="shared" si="351"/>
        <v>35.200000000000003</v>
      </c>
      <c r="J504" s="10">
        <f t="shared" si="352"/>
        <v>5348.4</v>
      </c>
      <c r="K504" s="10">
        <f t="shared" si="353"/>
        <v>476</v>
      </c>
      <c r="L504" s="10">
        <f t="shared" si="354"/>
        <v>0</v>
      </c>
      <c r="M504" s="10">
        <f t="shared" si="355"/>
        <v>77794</v>
      </c>
      <c r="N504" s="10">
        <f t="shared" si="356"/>
        <v>79846</v>
      </c>
      <c r="O504" s="10">
        <f t="shared" si="357"/>
        <v>0</v>
      </c>
      <c r="P504" s="10">
        <f t="shared" si="358"/>
        <v>0</v>
      </c>
      <c r="Q504" s="10">
        <f t="shared" si="359"/>
        <v>88919</v>
      </c>
      <c r="R504" s="10">
        <f t="shared" si="360"/>
        <v>88919</v>
      </c>
    </row>
    <row r="505" spans="1:18" x14ac:dyDescent="0.2">
      <c r="A505" s="8">
        <v>16550</v>
      </c>
      <c r="B505" s="77" t="str">
        <f t="shared" si="344"/>
        <v>Randwick</v>
      </c>
      <c r="C505" s="9" t="str">
        <f t="shared" si="345"/>
        <v>SSROC</v>
      </c>
      <c r="D505" s="45" t="str">
        <f t="shared" si="346"/>
        <v>S</v>
      </c>
      <c r="E505" s="10">
        <f t="shared" si="347"/>
        <v>0</v>
      </c>
      <c r="F505" s="10">
        <f t="shared" si="348"/>
        <v>141840</v>
      </c>
      <c r="G505" s="10">
        <f t="shared" si="349"/>
        <v>60012</v>
      </c>
      <c r="H505" s="10">
        <f t="shared" si="350"/>
        <v>2.3635272945410919</v>
      </c>
      <c r="I505" s="10">
        <f t="shared" si="351"/>
        <v>36.299999999999997</v>
      </c>
      <c r="J505" s="10">
        <f t="shared" si="352"/>
        <v>3904.1</v>
      </c>
      <c r="K505" s="10">
        <f t="shared" si="353"/>
        <v>637.85</v>
      </c>
      <c r="L505" s="10">
        <f t="shared" si="354"/>
        <v>0</v>
      </c>
      <c r="M505" s="10">
        <f t="shared" si="355"/>
        <v>58522</v>
      </c>
      <c r="N505" s="10">
        <f t="shared" si="356"/>
        <v>59880</v>
      </c>
      <c r="O505" s="10">
        <f t="shared" si="357"/>
        <v>0</v>
      </c>
      <c r="P505" s="10">
        <f t="shared" si="358"/>
        <v>59881</v>
      </c>
      <c r="Q505" s="10">
        <f t="shared" si="359"/>
        <v>60012</v>
      </c>
      <c r="R505" s="10">
        <f t="shared" si="360"/>
        <v>60012</v>
      </c>
    </row>
    <row r="506" spans="1:18" x14ac:dyDescent="0.2">
      <c r="A506" s="8">
        <v>17150</v>
      </c>
      <c r="B506" s="77" t="str">
        <f t="shared" si="344"/>
        <v>Sutherland Shire</v>
      </c>
      <c r="C506" s="9" t="str">
        <f t="shared" si="345"/>
        <v>SSROC</v>
      </c>
      <c r="D506" s="45" t="str">
        <f t="shared" si="346"/>
        <v>S</v>
      </c>
      <c r="E506" s="10">
        <f t="shared" si="347"/>
        <v>0</v>
      </c>
      <c r="F506" s="10">
        <f t="shared" si="348"/>
        <v>235029</v>
      </c>
      <c r="G506" s="10">
        <f t="shared" si="349"/>
        <v>89473</v>
      </c>
      <c r="H506" s="10">
        <f t="shared" si="350"/>
        <v>2.6268147932895958</v>
      </c>
      <c r="I506" s="10">
        <f t="shared" si="351"/>
        <v>333.6</v>
      </c>
      <c r="J506" s="10">
        <f t="shared" si="352"/>
        <v>704.6</v>
      </c>
      <c r="K506" s="10">
        <f t="shared" si="353"/>
        <v>456.3</v>
      </c>
      <c r="L506" s="10">
        <f t="shared" si="354"/>
        <v>0</v>
      </c>
      <c r="M506" s="10">
        <f t="shared" si="355"/>
        <v>86673</v>
      </c>
      <c r="N506" s="10">
        <f t="shared" si="356"/>
        <v>86673</v>
      </c>
      <c r="O506" s="10">
        <f t="shared" si="357"/>
        <v>56595</v>
      </c>
      <c r="P506" s="10">
        <f t="shared" si="358"/>
        <v>0</v>
      </c>
      <c r="Q506" s="10">
        <f t="shared" si="359"/>
        <v>89473</v>
      </c>
      <c r="R506" s="10">
        <f t="shared" si="360"/>
        <v>89473</v>
      </c>
    </row>
    <row r="507" spans="1:18" x14ac:dyDescent="0.2">
      <c r="A507" s="8">
        <v>17200</v>
      </c>
      <c r="B507" s="77" t="str">
        <f t="shared" si="344"/>
        <v>Sydney</v>
      </c>
      <c r="C507" s="9" t="str">
        <f t="shared" si="345"/>
        <v>SSROC</v>
      </c>
      <c r="D507" s="45" t="str">
        <f t="shared" si="346"/>
        <v>S</v>
      </c>
      <c r="E507" s="10">
        <f t="shared" si="347"/>
        <v>0</v>
      </c>
      <c r="F507" s="10">
        <f t="shared" si="348"/>
        <v>231086</v>
      </c>
      <c r="G507" s="10">
        <f t="shared" si="349"/>
        <v>132291</v>
      </c>
      <c r="H507" s="10">
        <f t="shared" si="350"/>
        <v>1.7468006137983687</v>
      </c>
      <c r="I507" s="10">
        <f t="shared" si="351"/>
        <v>26.7</v>
      </c>
      <c r="J507" s="10">
        <f t="shared" si="352"/>
        <v>8662.6</v>
      </c>
      <c r="K507" s="10">
        <f t="shared" si="353"/>
        <v>532</v>
      </c>
      <c r="L507" s="10">
        <f t="shared" si="354"/>
        <v>0</v>
      </c>
      <c r="M507" s="10">
        <f t="shared" si="355"/>
        <v>119139</v>
      </c>
      <c r="N507" s="10">
        <f t="shared" si="356"/>
        <v>163547</v>
      </c>
      <c r="O507" s="10">
        <f t="shared" si="357"/>
        <v>55754</v>
      </c>
      <c r="P507" s="10">
        <f t="shared" si="358"/>
        <v>19625</v>
      </c>
      <c r="Q507" s="10">
        <f t="shared" si="359"/>
        <v>132291</v>
      </c>
      <c r="R507" s="10">
        <f t="shared" si="360"/>
        <v>132291</v>
      </c>
    </row>
    <row r="508" spans="1:18" x14ac:dyDescent="0.2">
      <c r="A508" s="8">
        <v>18050</v>
      </c>
      <c r="B508" s="77" t="str">
        <f t="shared" si="344"/>
        <v>Waverley</v>
      </c>
      <c r="C508" s="9" t="str">
        <f t="shared" si="345"/>
        <v>SSROC</v>
      </c>
      <c r="D508" s="45" t="str">
        <f t="shared" si="346"/>
        <v>S</v>
      </c>
      <c r="E508" s="10">
        <f t="shared" si="347"/>
        <v>0</v>
      </c>
      <c r="F508" s="10">
        <f t="shared" si="348"/>
        <v>71414</v>
      </c>
      <c r="G508" s="10">
        <f t="shared" si="349"/>
        <v>29835</v>
      </c>
      <c r="H508" s="10">
        <f t="shared" si="350"/>
        <v>2.3936316406904643</v>
      </c>
      <c r="I508" s="10">
        <f t="shared" si="351"/>
        <v>9.4</v>
      </c>
      <c r="J508" s="10">
        <f t="shared" si="352"/>
        <v>7637.4</v>
      </c>
      <c r="K508" s="10">
        <f t="shared" si="353"/>
        <v>594.4</v>
      </c>
      <c r="L508" s="10">
        <f t="shared" si="354"/>
        <v>0</v>
      </c>
      <c r="M508" s="10">
        <f t="shared" si="355"/>
        <v>29829</v>
      </c>
      <c r="N508" s="10">
        <f t="shared" si="356"/>
        <v>40270</v>
      </c>
      <c r="O508" s="10">
        <f t="shared" si="357"/>
        <v>29829</v>
      </c>
      <c r="P508" s="10">
        <f t="shared" si="358"/>
        <v>0</v>
      </c>
      <c r="Q508" s="10">
        <f t="shared" si="359"/>
        <v>29835</v>
      </c>
      <c r="R508" s="10">
        <f t="shared" si="360"/>
        <v>29835</v>
      </c>
    </row>
    <row r="509" spans="1:18" ht="13.5" thickBot="1" x14ac:dyDescent="0.25">
      <c r="A509" s="8">
        <v>18500</v>
      </c>
      <c r="B509" s="77" t="str">
        <f t="shared" si="344"/>
        <v>Woollahra</v>
      </c>
      <c r="C509" s="9" t="str">
        <f t="shared" si="345"/>
        <v>SSROC</v>
      </c>
      <c r="D509" s="45" t="str">
        <f t="shared" si="346"/>
        <v>S</v>
      </c>
      <c r="E509" s="10">
        <f t="shared" si="347"/>
        <v>0</v>
      </c>
      <c r="F509" s="10">
        <f t="shared" si="348"/>
        <v>54660</v>
      </c>
      <c r="G509" s="10">
        <f t="shared" si="349"/>
        <v>25863</v>
      </c>
      <c r="H509" s="10">
        <f t="shared" si="350"/>
        <v>2.1134439160190235</v>
      </c>
      <c r="I509" s="10">
        <f t="shared" si="351"/>
        <v>12.3</v>
      </c>
      <c r="J509" s="10">
        <f t="shared" si="352"/>
        <v>4459</v>
      </c>
      <c r="K509" s="10">
        <f t="shared" si="353"/>
        <v>609.20000000000005</v>
      </c>
      <c r="L509" s="10">
        <f t="shared" si="354"/>
        <v>0</v>
      </c>
      <c r="M509" s="10">
        <f t="shared" si="355"/>
        <v>23519</v>
      </c>
      <c r="N509" s="10" t="str">
        <f t="shared" si="356"/>
        <v>-</v>
      </c>
      <c r="O509" s="10">
        <f t="shared" si="357"/>
        <v>0</v>
      </c>
      <c r="P509" s="10">
        <f t="shared" si="358"/>
        <v>1000</v>
      </c>
      <c r="Q509" s="10">
        <f t="shared" si="359"/>
        <v>25863</v>
      </c>
      <c r="R509" s="10">
        <f t="shared" si="360"/>
        <v>25863</v>
      </c>
    </row>
    <row r="510" spans="1:18" ht="13.5" thickTop="1" x14ac:dyDescent="0.2">
      <c r="A510" s="11"/>
      <c r="B510" s="11"/>
      <c r="C510" s="11" t="s">
        <v>26</v>
      </c>
      <c r="D510" s="11"/>
      <c r="E510" s="12"/>
      <c r="F510" s="13">
        <f>COUNTIF(F499:F509,"&gt;0")</f>
        <v>11</v>
      </c>
      <c r="G510" s="13">
        <f t="shared" ref="G510:R510" si="361">COUNTIF(G499:G509,"&gt;0")</f>
        <v>11</v>
      </c>
      <c r="H510" s="13">
        <f t="shared" si="361"/>
        <v>11</v>
      </c>
      <c r="I510" s="13">
        <f t="shared" si="361"/>
        <v>11</v>
      </c>
      <c r="J510" s="13">
        <f t="shared" si="361"/>
        <v>11</v>
      </c>
      <c r="K510" s="13">
        <f t="shared" si="361"/>
        <v>11</v>
      </c>
      <c r="L510" s="13">
        <f t="shared" si="361"/>
        <v>0</v>
      </c>
      <c r="M510" s="13">
        <f t="shared" si="361"/>
        <v>11</v>
      </c>
      <c r="N510" s="13">
        <f t="shared" si="361"/>
        <v>10</v>
      </c>
      <c r="O510" s="13">
        <f t="shared" si="361"/>
        <v>8</v>
      </c>
      <c r="P510" s="13">
        <f t="shared" si="361"/>
        <v>4</v>
      </c>
      <c r="Q510" s="13">
        <f t="shared" si="361"/>
        <v>11</v>
      </c>
      <c r="R510" s="13">
        <f t="shared" si="361"/>
        <v>11</v>
      </c>
    </row>
    <row r="511" spans="1:18" x14ac:dyDescent="0.2">
      <c r="A511" s="8"/>
      <c r="B511" s="8"/>
      <c r="C511" s="8" t="s">
        <v>27</v>
      </c>
      <c r="D511" s="8"/>
      <c r="E511" s="69"/>
      <c r="F511" s="15">
        <f>SUM(F499:F509)</f>
        <v>1777104</v>
      </c>
      <c r="G511" s="15">
        <f t="shared" ref="G511:R511" si="362">SUM(G499:G509)</f>
        <v>744413</v>
      </c>
      <c r="H511" s="93">
        <f>F511/G511</f>
        <v>2.387255461685919</v>
      </c>
      <c r="I511" s="15">
        <f t="shared" si="362"/>
        <v>679.6</v>
      </c>
      <c r="J511" s="15">
        <f t="shared" si="362"/>
        <v>52447.899999999994</v>
      </c>
      <c r="K511" s="15">
        <f t="shared" si="362"/>
        <v>5906.5099999999993</v>
      </c>
      <c r="L511" s="15">
        <f t="shared" si="362"/>
        <v>0</v>
      </c>
      <c r="M511" s="15">
        <f t="shared" si="362"/>
        <v>688549</v>
      </c>
      <c r="N511" s="15">
        <f t="shared" si="362"/>
        <v>729922</v>
      </c>
      <c r="O511" s="15">
        <f t="shared" si="362"/>
        <v>382369</v>
      </c>
      <c r="P511" s="15">
        <f t="shared" si="362"/>
        <v>81166</v>
      </c>
      <c r="Q511" s="15">
        <f t="shared" si="362"/>
        <v>744413</v>
      </c>
      <c r="R511" s="15">
        <f t="shared" si="362"/>
        <v>744413</v>
      </c>
    </row>
    <row r="512" spans="1:18" x14ac:dyDescent="0.2">
      <c r="A512" s="8"/>
      <c r="B512" s="8"/>
      <c r="C512" s="8" t="s">
        <v>28</v>
      </c>
      <c r="D512" s="8"/>
      <c r="E512" s="69"/>
      <c r="F512" s="10">
        <f t="shared" ref="F512:R512" si="363">MIN(F499:F509)</f>
        <v>42498</v>
      </c>
      <c r="G512" s="10">
        <f t="shared" si="363"/>
        <v>14954</v>
      </c>
      <c r="H512" s="10">
        <f t="shared" si="363"/>
        <v>1.7468006137983687</v>
      </c>
      <c r="I512" s="10">
        <f t="shared" si="363"/>
        <v>7.1</v>
      </c>
      <c r="J512" s="10">
        <f t="shared" si="363"/>
        <v>704.6</v>
      </c>
      <c r="K512" s="10">
        <f t="shared" si="363"/>
        <v>430</v>
      </c>
      <c r="L512" s="10">
        <f t="shared" si="363"/>
        <v>0</v>
      </c>
      <c r="M512" s="10">
        <f t="shared" si="363"/>
        <v>14871</v>
      </c>
      <c r="N512" s="10">
        <f t="shared" si="363"/>
        <v>14869</v>
      </c>
      <c r="O512" s="10">
        <f t="shared" si="363"/>
        <v>0</v>
      </c>
      <c r="P512" s="10">
        <f t="shared" si="363"/>
        <v>0</v>
      </c>
      <c r="Q512" s="10">
        <f t="shared" si="363"/>
        <v>14954</v>
      </c>
      <c r="R512" s="10">
        <f t="shared" si="363"/>
        <v>14954</v>
      </c>
    </row>
    <row r="513" spans="1:18" x14ac:dyDescent="0.2">
      <c r="A513" s="8"/>
      <c r="B513" s="8"/>
      <c r="C513" s="8" t="s">
        <v>29</v>
      </c>
      <c r="D513" s="8"/>
      <c r="E513" s="69"/>
      <c r="F513" s="10">
        <f t="shared" ref="F513:R513" si="364">MAX(F499:F509)</f>
        <v>379829</v>
      </c>
      <c r="G513" s="10">
        <f t="shared" si="364"/>
        <v>136316</v>
      </c>
      <c r="H513" s="10">
        <f t="shared" si="364"/>
        <v>2.8419152066336766</v>
      </c>
      <c r="I513" s="10">
        <f t="shared" si="364"/>
        <v>333.6</v>
      </c>
      <c r="J513" s="10">
        <f t="shared" si="364"/>
        <v>8662.6</v>
      </c>
      <c r="K513" s="10">
        <f t="shared" si="364"/>
        <v>637.85</v>
      </c>
      <c r="L513" s="10">
        <f t="shared" si="364"/>
        <v>0</v>
      </c>
      <c r="M513" s="10">
        <f t="shared" si="364"/>
        <v>135954</v>
      </c>
      <c r="N513" s="10">
        <f t="shared" si="364"/>
        <v>163547</v>
      </c>
      <c r="O513" s="10">
        <f t="shared" si="364"/>
        <v>134954</v>
      </c>
      <c r="P513" s="10">
        <f t="shared" si="364"/>
        <v>59881</v>
      </c>
      <c r="Q513" s="10">
        <f t="shared" si="364"/>
        <v>136316</v>
      </c>
      <c r="R513" s="10">
        <f t="shared" si="364"/>
        <v>136316</v>
      </c>
    </row>
    <row r="514" spans="1:18" x14ac:dyDescent="0.2">
      <c r="A514" s="8"/>
      <c r="B514" s="8"/>
      <c r="C514" s="8" t="s">
        <v>30</v>
      </c>
      <c r="D514" s="8"/>
      <c r="E514" s="69"/>
      <c r="F514" s="10">
        <f t="shared" ref="F514:R514" si="365">AVERAGE(F498:F509)</f>
        <v>161554.90909090909</v>
      </c>
      <c r="G514" s="10">
        <f t="shared" si="365"/>
        <v>67673.909090909088</v>
      </c>
      <c r="H514" s="10">
        <f t="shared" si="365"/>
        <v>2.4254499949350934</v>
      </c>
      <c r="I514" s="10">
        <f t="shared" si="365"/>
        <v>61.781818181818181</v>
      </c>
      <c r="J514" s="10">
        <f t="shared" si="365"/>
        <v>4767.9909090909086</v>
      </c>
      <c r="K514" s="10">
        <f t="shared" si="365"/>
        <v>536.95545454545447</v>
      </c>
      <c r="L514" s="10">
        <f t="shared" si="365"/>
        <v>0</v>
      </c>
      <c r="M514" s="10">
        <f t="shared" si="365"/>
        <v>62595.36363636364</v>
      </c>
      <c r="N514" s="10">
        <f t="shared" si="365"/>
        <v>72992.2</v>
      </c>
      <c r="O514" s="10">
        <f t="shared" si="365"/>
        <v>34760.818181818184</v>
      </c>
      <c r="P514" s="10">
        <f t="shared" si="365"/>
        <v>7378.727272727273</v>
      </c>
      <c r="Q514" s="10">
        <f t="shared" si="365"/>
        <v>67673.909090909088</v>
      </c>
      <c r="R514" s="10">
        <f t="shared" si="365"/>
        <v>67673.909090909088</v>
      </c>
    </row>
    <row r="515" spans="1:18" ht="13.5" thickBot="1" x14ac:dyDescent="0.25">
      <c r="A515" s="16"/>
      <c r="B515" s="16"/>
      <c r="C515" s="16" t="s">
        <v>31</v>
      </c>
      <c r="D515" s="16"/>
      <c r="E515" s="69"/>
      <c r="F515" s="18">
        <f t="shared" ref="F515:R515" si="366">MEDIAN(F499:F509)</f>
        <v>158051</v>
      </c>
      <c r="G515" s="18">
        <f t="shared" si="366"/>
        <v>60396</v>
      </c>
      <c r="H515" s="18">
        <f t="shared" si="366"/>
        <v>2.3936316406904643</v>
      </c>
      <c r="I515" s="18">
        <f t="shared" si="366"/>
        <v>35.200000000000003</v>
      </c>
      <c r="J515" s="18">
        <f t="shared" si="366"/>
        <v>4459</v>
      </c>
      <c r="K515" s="18">
        <f t="shared" si="366"/>
        <v>532</v>
      </c>
      <c r="L515" s="18">
        <f t="shared" si="366"/>
        <v>0</v>
      </c>
      <c r="M515" s="18">
        <f t="shared" si="366"/>
        <v>58522</v>
      </c>
      <c r="N515" s="18">
        <f t="shared" si="366"/>
        <v>62381.5</v>
      </c>
      <c r="O515" s="18">
        <f t="shared" si="366"/>
        <v>29829</v>
      </c>
      <c r="P515" s="18">
        <f t="shared" si="366"/>
        <v>0</v>
      </c>
      <c r="Q515" s="18">
        <f t="shared" si="366"/>
        <v>60396</v>
      </c>
      <c r="R515" s="18">
        <f t="shared" si="366"/>
        <v>60396</v>
      </c>
    </row>
    <row r="516" spans="1:18" ht="13.5" thickTop="1" x14ac:dyDescent="0.2">
      <c r="B516"/>
      <c r="C516" s="5"/>
      <c r="D516" s="5"/>
    </row>
    <row r="517" spans="1:18" ht="13.5" thickBot="1" x14ac:dyDescent="0.25">
      <c r="A517" s="25"/>
      <c r="B517" s="25"/>
      <c r="C517" s="27" t="s">
        <v>37</v>
      </c>
      <c r="D517" s="27">
        <v>5</v>
      </c>
    </row>
    <row r="518" spans="1:18" ht="13.5" thickTop="1" x14ac:dyDescent="0.2">
      <c r="A518" s="8">
        <v>14400</v>
      </c>
      <c r="B518" s="77" t="str">
        <f>VLOOKUP($A518,$A$5:$K$132,2,FALSE)</f>
        <v>Kiama</v>
      </c>
      <c r="C518" s="9" t="str">
        <f>VLOOKUP($A518,$A$5:$K$133,3,FALSE)</f>
        <v>ISJO</v>
      </c>
      <c r="D518" s="45" t="str">
        <f>VLOOKUP($A518,$A$5:$K$133,4,FALSE)</f>
        <v>S</v>
      </c>
      <c r="E518" s="10" t="str">
        <f>VLOOKUP($A518,$A$5:$R$132,5,FALSE)</f>
        <v>ISJO</v>
      </c>
      <c r="F518" s="10">
        <f>VLOOKUP($A518,$A$5:$R$132,6,FALSE)</f>
        <v>23002</v>
      </c>
      <c r="G518" s="10">
        <f>VLOOKUP($A518,$A$5:$R$132,7,FALSE)</f>
        <v>10766</v>
      </c>
      <c r="H518" s="10">
        <f>VLOOKUP($A518,$A$5:$R$132,8,FALSE)</f>
        <v>2.1365409622886866</v>
      </c>
      <c r="I518" s="10">
        <f>VLOOKUP($A518,$A$5:$R$132,9,FALSE)</f>
        <v>257.7</v>
      </c>
      <c r="J518" s="10">
        <f>VLOOKUP($A518,$A$5:$R$132,10,FALSE)</f>
        <v>89.3</v>
      </c>
      <c r="K518" s="10">
        <f>VLOOKUP($A518,$A$5:$R$132,11,FALSE)</f>
        <v>611.5</v>
      </c>
      <c r="L518" s="10" t="str">
        <f>VLOOKUP($A518,$A$4:$R$132,12,FALSE)</f>
        <v>2021-2022 data used for some questions</v>
      </c>
      <c r="M518" s="10">
        <f>VLOOKUP($A518,$A$4:$R$132,13,FALSE)</f>
        <v>11156</v>
      </c>
      <c r="N518" s="10">
        <f>VLOOKUP($A518,$A$4:$R$132,14,FALSE)</f>
        <v>10322</v>
      </c>
      <c r="O518" s="10">
        <f>VLOOKUP($A518,$A$4:$R$132,15,FALSE)</f>
        <v>0</v>
      </c>
      <c r="P518" s="10">
        <f>VLOOKUP($A518,$A$4:$R$132,16,FALSE)</f>
        <v>9215</v>
      </c>
      <c r="Q518" s="10">
        <f>VLOOKUP($A518,$A$4:$R$132,17,FALSE)</f>
        <v>11156</v>
      </c>
      <c r="R518" s="10">
        <f>VLOOKUP($A518,$A$4:$R$132,18,FALSE)</f>
        <v>11156</v>
      </c>
    </row>
    <row r="519" spans="1:18" x14ac:dyDescent="0.2">
      <c r="A519" s="8">
        <v>16900</v>
      </c>
      <c r="B519" s="77" t="str">
        <f>VLOOKUP($A519,$A$5:$K$132,2,FALSE)</f>
        <v>Shellharbour</v>
      </c>
      <c r="C519" s="9" t="str">
        <f>VLOOKUP($A519,$A$5:$K$133,3,FALSE)</f>
        <v>ISJO</v>
      </c>
      <c r="D519" s="45" t="str">
        <f>VLOOKUP($A519,$A$5:$K$133,4,FALSE)</f>
        <v>S</v>
      </c>
      <c r="E519" s="10" t="str">
        <f>VLOOKUP($A519,$A$5:$R$132,5,FALSE)</f>
        <v>ISJO</v>
      </c>
      <c r="F519" s="10">
        <f>VLOOKUP($A519,$A$5:$R$132,6,FALSE)</f>
        <v>79738</v>
      </c>
      <c r="G519" s="10">
        <f>VLOOKUP($A519,$A$5:$R$132,7,FALSE)</f>
        <v>29864</v>
      </c>
      <c r="H519" s="10">
        <f>VLOOKUP($A519,$A$5:$R$132,8,FALSE)</f>
        <v>2.6700375033485133</v>
      </c>
      <c r="I519" s="10">
        <f>VLOOKUP($A519,$A$5:$R$132,9,FALSE)</f>
        <v>147.4</v>
      </c>
      <c r="J519" s="10">
        <f>VLOOKUP($A519,$A$5:$R$132,10,FALSE)</f>
        <v>540.9</v>
      </c>
      <c r="K519" s="10">
        <f>VLOOKUP($A519,$A$5:$R$132,11,FALSE)</f>
        <v>582</v>
      </c>
      <c r="L519" s="10">
        <f>VLOOKUP($A519,$A$4:$R$132,12,FALSE)</f>
        <v>0</v>
      </c>
      <c r="M519" s="10">
        <f>VLOOKUP($A519,$A$4:$R$132,13,FALSE)</f>
        <v>31111</v>
      </c>
      <c r="N519" s="10">
        <f>VLOOKUP($A519,$A$4:$R$132,14,FALSE)</f>
        <v>30243</v>
      </c>
      <c r="O519" s="10">
        <f>VLOOKUP($A519,$A$4:$R$132,15,FALSE)</f>
        <v>0</v>
      </c>
      <c r="P519" s="10">
        <f>VLOOKUP($A519,$A$4:$R$132,16,FALSE)</f>
        <v>28705</v>
      </c>
      <c r="Q519" s="10">
        <f>VLOOKUP($A519,$A$4:$R$132,17,FALSE)</f>
        <v>29864</v>
      </c>
      <c r="R519" s="10">
        <f>VLOOKUP($A519,$A$4:$R$132,18,FALSE)</f>
        <v>29864</v>
      </c>
    </row>
    <row r="520" spans="1:18" x14ac:dyDescent="0.2">
      <c r="A520" s="8">
        <v>16950</v>
      </c>
      <c r="B520" s="77" t="str">
        <f>VLOOKUP($A520,$A$5:$K$132,2,FALSE)</f>
        <v>Shoalhaven</v>
      </c>
      <c r="C520" s="9" t="str">
        <f>VLOOKUP($A520,$A$5:$K$133,3,FALSE)</f>
        <v>ISJO</v>
      </c>
      <c r="D520" s="45" t="str">
        <f>VLOOKUP($A520,$A$5:$K$133,4,FALSE)</f>
        <v>S</v>
      </c>
      <c r="E520" s="10" t="str">
        <f>VLOOKUP($A520,$A$5:$R$132,5,FALSE)</f>
        <v>ISJO</v>
      </c>
      <c r="F520" s="10">
        <f>VLOOKUP($A520,$A$5:$R$132,6,FALSE)</f>
        <v>109895</v>
      </c>
      <c r="G520" s="10">
        <f>VLOOKUP($A520,$A$5:$R$132,7,FALSE)</f>
        <v>59888</v>
      </c>
      <c r="H520" s="10">
        <f>VLOOKUP($A520,$A$5:$R$132,8,FALSE)</f>
        <v>1.8350086828746994</v>
      </c>
      <c r="I520" s="10">
        <f>VLOOKUP($A520,$A$5:$R$132,9,FALSE)</f>
        <v>4567.2</v>
      </c>
      <c r="J520" s="10">
        <f>VLOOKUP($A520,$A$5:$R$132,10,FALSE)</f>
        <v>24.1</v>
      </c>
      <c r="K520" s="10">
        <f>VLOOKUP($A520,$A$5:$R$132,11,FALSE)</f>
        <v>441</v>
      </c>
      <c r="L520" s="10">
        <f>VLOOKUP($A520,$A$4:$R$132,12,FALSE)</f>
        <v>0</v>
      </c>
      <c r="M520" s="10">
        <f>VLOOKUP($A520,$A$4:$R$132,13,FALSE)</f>
        <v>54455</v>
      </c>
      <c r="N520" s="10">
        <f>VLOOKUP($A520,$A$4:$R$132,14,FALSE)</f>
        <v>56922</v>
      </c>
      <c r="O520" s="10">
        <f>VLOOKUP($A520,$A$4:$R$132,15,FALSE)</f>
        <v>0</v>
      </c>
      <c r="P520" s="10">
        <f>VLOOKUP($A520,$A$4:$R$132,16,FALSE)</f>
        <v>0</v>
      </c>
      <c r="Q520" s="10">
        <f>VLOOKUP($A520,$A$4:$R$132,17,FALSE)</f>
        <v>59888</v>
      </c>
      <c r="R520" s="10">
        <f>VLOOKUP($A520,$A$4:$R$132,18,FALSE)</f>
        <v>59888</v>
      </c>
    </row>
    <row r="521" spans="1:18" ht="13.5" thickBot="1" x14ac:dyDescent="0.25">
      <c r="A521" s="8">
        <v>18450</v>
      </c>
      <c r="B521" s="77" t="str">
        <f>VLOOKUP($A521,$A$5:$K$132,2,FALSE)</f>
        <v>Wollongong</v>
      </c>
      <c r="C521" s="9" t="str">
        <f>VLOOKUP($A521,$A$5:$K$133,3,FALSE)</f>
        <v>ISJO</v>
      </c>
      <c r="D521" s="45" t="str">
        <f>VLOOKUP($A521,$A$5:$K$133,4,FALSE)</f>
        <v>S</v>
      </c>
      <c r="E521" s="10" t="str">
        <f>VLOOKUP($A521,$A$5:$R$132,5,FALSE)</f>
        <v>ISJO</v>
      </c>
      <c r="F521" s="10">
        <f>VLOOKUP($A521,$A$5:$R$132,6,FALSE)</f>
        <v>219141</v>
      </c>
      <c r="G521" s="10">
        <f>VLOOKUP($A521,$A$5:$R$132,7,FALSE)</f>
        <v>107274</v>
      </c>
      <c r="H521" s="10">
        <f>VLOOKUP($A521,$A$5:$R$132,8,FALSE)</f>
        <v>2.042815593713295</v>
      </c>
      <c r="I521" s="10">
        <f>VLOOKUP($A521,$A$5:$R$132,9,FALSE)</f>
        <v>684.3</v>
      </c>
      <c r="J521" s="10">
        <f>VLOOKUP($A521,$A$5:$R$132,10,FALSE)</f>
        <v>320.2</v>
      </c>
      <c r="K521" s="10">
        <f>VLOOKUP($A521,$A$5:$R$132,11,FALSE)</f>
        <v>446.5</v>
      </c>
      <c r="L521" s="10">
        <f>VLOOKUP($A521,$A$4:$R$132,12,FALSE)</f>
        <v>0</v>
      </c>
      <c r="M521" s="10">
        <f>VLOOKUP($A521,$A$4:$R$132,13,FALSE)</f>
        <v>87152</v>
      </c>
      <c r="N521" s="10">
        <f>VLOOKUP($A521,$A$4:$R$132,14,FALSE)</f>
        <v>87152</v>
      </c>
      <c r="O521" s="10">
        <f>VLOOKUP($A521,$A$4:$R$132,15,FALSE)</f>
        <v>0</v>
      </c>
      <c r="P521" s="10">
        <f>VLOOKUP($A521,$A$4:$R$132,16,FALSE)</f>
        <v>87152</v>
      </c>
      <c r="Q521" s="10">
        <f>VLOOKUP($A521,$A$4:$R$132,17,FALSE)</f>
        <v>107274</v>
      </c>
      <c r="R521" s="10">
        <f>VLOOKUP($A521,$A$4:$R$132,18,FALSE)</f>
        <v>107274</v>
      </c>
    </row>
    <row r="522" spans="1:18" ht="13.5" thickTop="1" x14ac:dyDescent="0.2">
      <c r="A522" s="11"/>
      <c r="B522" s="11"/>
      <c r="C522" s="11" t="s">
        <v>26</v>
      </c>
      <c r="D522" s="11"/>
      <c r="E522" s="12"/>
      <c r="F522" s="13">
        <f t="shared" ref="F522:R522" si="367">COUNTIF(F518:F521,"&gt;0")</f>
        <v>4</v>
      </c>
      <c r="G522" s="13">
        <f t="shared" si="367"/>
        <v>4</v>
      </c>
      <c r="H522" s="13">
        <f t="shared" si="367"/>
        <v>4</v>
      </c>
      <c r="I522" s="13">
        <f t="shared" si="367"/>
        <v>4</v>
      </c>
      <c r="J522" s="13">
        <f t="shared" si="367"/>
        <v>4</v>
      </c>
      <c r="K522" s="13">
        <f t="shared" si="367"/>
        <v>4</v>
      </c>
      <c r="L522" s="13">
        <f t="shared" si="367"/>
        <v>0</v>
      </c>
      <c r="M522" s="13">
        <f t="shared" si="367"/>
        <v>4</v>
      </c>
      <c r="N522" s="13">
        <f t="shared" si="367"/>
        <v>4</v>
      </c>
      <c r="O522" s="13">
        <f t="shared" si="367"/>
        <v>0</v>
      </c>
      <c r="P522" s="13">
        <f t="shared" si="367"/>
        <v>3</v>
      </c>
      <c r="Q522" s="13">
        <f t="shared" si="367"/>
        <v>4</v>
      </c>
      <c r="R522" s="13">
        <f t="shared" si="367"/>
        <v>4</v>
      </c>
    </row>
    <row r="523" spans="1:18" x14ac:dyDescent="0.2">
      <c r="A523" s="8"/>
      <c r="B523" s="8"/>
      <c r="C523" s="8" t="s">
        <v>27</v>
      </c>
      <c r="D523" s="8"/>
      <c r="E523" s="69"/>
      <c r="F523" s="15">
        <f t="shared" ref="F523:R523" si="368">SUM(F518:F521)</f>
        <v>431776</v>
      </c>
      <c r="G523" s="15">
        <f t="shared" si="368"/>
        <v>207792</v>
      </c>
      <c r="H523" s="93">
        <f>F523/G523</f>
        <v>2.0779240779240777</v>
      </c>
      <c r="I523" s="15">
        <f t="shared" si="368"/>
        <v>5656.6</v>
      </c>
      <c r="J523" s="15">
        <f t="shared" si="368"/>
        <v>974.5</v>
      </c>
      <c r="K523" s="15">
        <f t="shared" si="368"/>
        <v>2081</v>
      </c>
      <c r="L523" s="15">
        <f t="shared" si="368"/>
        <v>0</v>
      </c>
      <c r="M523" s="15">
        <f t="shared" si="368"/>
        <v>183874</v>
      </c>
      <c r="N523" s="15">
        <f t="shared" si="368"/>
        <v>184639</v>
      </c>
      <c r="O523" s="15">
        <f t="shared" si="368"/>
        <v>0</v>
      </c>
      <c r="P523" s="15">
        <f t="shared" si="368"/>
        <v>125072</v>
      </c>
      <c r="Q523" s="15">
        <f t="shared" si="368"/>
        <v>208182</v>
      </c>
      <c r="R523" s="15">
        <f t="shared" si="368"/>
        <v>208182</v>
      </c>
    </row>
    <row r="524" spans="1:18" x14ac:dyDescent="0.2">
      <c r="A524" s="8"/>
      <c r="B524" s="8"/>
      <c r="C524" s="8" t="s">
        <v>28</v>
      </c>
      <c r="D524" s="8"/>
      <c r="E524" s="69"/>
      <c r="F524" s="10">
        <f t="shared" ref="F524:R524" si="369">MIN(F518:F521)</f>
        <v>23002</v>
      </c>
      <c r="G524" s="10">
        <f t="shared" si="369"/>
        <v>10766</v>
      </c>
      <c r="H524" s="10">
        <f t="shared" si="369"/>
        <v>1.8350086828746994</v>
      </c>
      <c r="I524" s="10">
        <f t="shared" si="369"/>
        <v>147.4</v>
      </c>
      <c r="J524" s="10">
        <f t="shared" si="369"/>
        <v>24.1</v>
      </c>
      <c r="K524" s="10">
        <f t="shared" si="369"/>
        <v>441</v>
      </c>
      <c r="L524" s="10">
        <f t="shared" si="369"/>
        <v>0</v>
      </c>
      <c r="M524" s="10">
        <f t="shared" si="369"/>
        <v>11156</v>
      </c>
      <c r="N524" s="10">
        <f t="shared" si="369"/>
        <v>10322</v>
      </c>
      <c r="O524" s="10">
        <f t="shared" si="369"/>
        <v>0</v>
      </c>
      <c r="P524" s="10">
        <f t="shared" si="369"/>
        <v>0</v>
      </c>
      <c r="Q524" s="10">
        <f t="shared" si="369"/>
        <v>11156</v>
      </c>
      <c r="R524" s="10">
        <f t="shared" si="369"/>
        <v>11156</v>
      </c>
    </row>
    <row r="525" spans="1:18" x14ac:dyDescent="0.2">
      <c r="A525" s="8"/>
      <c r="B525" s="8"/>
      <c r="C525" s="8" t="s">
        <v>29</v>
      </c>
      <c r="D525" s="8"/>
      <c r="E525" s="69"/>
      <c r="F525" s="10">
        <f t="shared" ref="F525:R525" si="370">MAX(F518:F521)</f>
        <v>219141</v>
      </c>
      <c r="G525" s="10">
        <f t="shared" si="370"/>
        <v>107274</v>
      </c>
      <c r="H525" s="10">
        <f t="shared" si="370"/>
        <v>2.6700375033485133</v>
      </c>
      <c r="I525" s="10">
        <f t="shared" si="370"/>
        <v>4567.2</v>
      </c>
      <c r="J525" s="10">
        <f t="shared" si="370"/>
        <v>540.9</v>
      </c>
      <c r="K525" s="10">
        <f t="shared" si="370"/>
        <v>611.5</v>
      </c>
      <c r="L525" s="10">
        <f t="shared" si="370"/>
        <v>0</v>
      </c>
      <c r="M525" s="10">
        <f t="shared" si="370"/>
        <v>87152</v>
      </c>
      <c r="N525" s="10">
        <f t="shared" si="370"/>
        <v>87152</v>
      </c>
      <c r="O525" s="10">
        <f t="shared" si="370"/>
        <v>0</v>
      </c>
      <c r="P525" s="10">
        <f t="shared" si="370"/>
        <v>87152</v>
      </c>
      <c r="Q525" s="10">
        <f t="shared" si="370"/>
        <v>107274</v>
      </c>
      <c r="R525" s="10">
        <f t="shared" si="370"/>
        <v>107274</v>
      </c>
    </row>
    <row r="526" spans="1:18" x14ac:dyDescent="0.2">
      <c r="A526" s="8"/>
      <c r="B526" s="8"/>
      <c r="C526" s="8" t="s">
        <v>30</v>
      </c>
      <c r="D526" s="8"/>
      <c r="E526" s="69"/>
      <c r="F526" s="10">
        <f t="shared" ref="F526:R526" si="371">AVERAGE(F518:F521)</f>
        <v>107944</v>
      </c>
      <c r="G526" s="10">
        <f t="shared" si="371"/>
        <v>51948</v>
      </c>
      <c r="H526" s="10">
        <f t="shared" si="371"/>
        <v>2.1711006855562984</v>
      </c>
      <c r="I526" s="10">
        <f t="shared" si="371"/>
        <v>1414.15</v>
      </c>
      <c r="J526" s="10">
        <f t="shared" si="371"/>
        <v>243.625</v>
      </c>
      <c r="K526" s="10">
        <f t="shared" si="371"/>
        <v>520.25</v>
      </c>
      <c r="L526" s="10">
        <f t="shared" si="371"/>
        <v>0</v>
      </c>
      <c r="M526" s="10">
        <f t="shared" si="371"/>
        <v>45968.5</v>
      </c>
      <c r="N526" s="10">
        <f t="shared" si="371"/>
        <v>46159.75</v>
      </c>
      <c r="O526" s="10">
        <f t="shared" si="371"/>
        <v>0</v>
      </c>
      <c r="P526" s="10">
        <f t="shared" si="371"/>
        <v>31268</v>
      </c>
      <c r="Q526" s="10">
        <f t="shared" si="371"/>
        <v>52045.5</v>
      </c>
      <c r="R526" s="10">
        <f t="shared" si="371"/>
        <v>52045.5</v>
      </c>
    </row>
    <row r="527" spans="1:18" ht="13.5" thickBot="1" x14ac:dyDescent="0.25">
      <c r="A527" s="16"/>
      <c r="B527" s="16"/>
      <c r="C527" s="16" t="s">
        <v>31</v>
      </c>
      <c r="D527" s="16"/>
      <c r="E527" s="69"/>
      <c r="F527" s="18">
        <f t="shared" ref="F527:R527" si="372">MEDIAN(F518:F521)</f>
        <v>94816.5</v>
      </c>
      <c r="G527" s="18">
        <f t="shared" si="372"/>
        <v>44876</v>
      </c>
      <c r="H527" s="18">
        <f t="shared" si="372"/>
        <v>2.0896782780009908</v>
      </c>
      <c r="I527" s="18">
        <f t="shared" si="372"/>
        <v>471</v>
      </c>
      <c r="J527" s="18">
        <f t="shared" si="372"/>
        <v>204.75</v>
      </c>
      <c r="K527" s="18">
        <f t="shared" si="372"/>
        <v>514.25</v>
      </c>
      <c r="L527" s="18">
        <f t="shared" si="372"/>
        <v>0</v>
      </c>
      <c r="M527" s="18">
        <f t="shared" si="372"/>
        <v>42783</v>
      </c>
      <c r="N527" s="18">
        <f t="shared" si="372"/>
        <v>43582.5</v>
      </c>
      <c r="O527" s="18">
        <f t="shared" si="372"/>
        <v>0</v>
      </c>
      <c r="P527" s="18">
        <f t="shared" si="372"/>
        <v>18960</v>
      </c>
      <c r="Q527" s="18">
        <f t="shared" si="372"/>
        <v>44876</v>
      </c>
      <c r="R527" s="18">
        <f t="shared" si="372"/>
        <v>44876</v>
      </c>
    </row>
    <row r="528" spans="1:18" ht="13.5" thickTop="1" x14ac:dyDescent="0.2"/>
    <row r="529" spans="1:18" ht="13.5" thickBot="1" x14ac:dyDescent="0.25">
      <c r="A529" s="25"/>
      <c r="B529" s="28"/>
      <c r="C529" s="27" t="s">
        <v>182</v>
      </c>
      <c r="D529" s="27"/>
    </row>
    <row r="530" spans="1:18" ht="13.5" thickTop="1" x14ac:dyDescent="0.2">
      <c r="A530" s="8">
        <v>11450</v>
      </c>
      <c r="B530" s="77" t="str">
        <f>VLOOKUP($A530,$A$5:$K$132,2,FALSE)</f>
        <v>Camden</v>
      </c>
      <c r="C530" s="9" t="str">
        <f>VLOOKUP($A530,$A$5:$K$133,3,FALSE)</f>
        <v>MSWA</v>
      </c>
      <c r="D530" s="45" t="str">
        <f>VLOOKUP($A530,$A$5:$K$133,4,FALSE)</f>
        <v>S</v>
      </c>
      <c r="E530" s="10">
        <f>VLOOKUP($A530,$A$5:$R$132,5,FALSE)</f>
        <v>0</v>
      </c>
      <c r="F530" s="10">
        <f>VLOOKUP($A530,$A$5:$R$132,6,FALSE)</f>
        <v>134811</v>
      </c>
      <c r="G530" s="10">
        <f>VLOOKUP($A530,$A$5:$R$132,7,FALSE)</f>
        <v>44583</v>
      </c>
      <c r="H530" s="10">
        <f>VLOOKUP($A530,$A$5:$R$132,8,FALSE)</f>
        <v>3.0238207388466454</v>
      </c>
      <c r="I530" s="10">
        <f>VLOOKUP($A530,$A$5:$R$132,9,FALSE)</f>
        <v>201.5</v>
      </c>
      <c r="J530" s="10">
        <f>VLOOKUP($A530,$A$5:$R$132,10,FALSE)</f>
        <v>668.9</v>
      </c>
      <c r="K530" s="10">
        <f>VLOOKUP($A530,$A$5:$R$132,11,FALSE)</f>
        <v>384</v>
      </c>
      <c r="L530" s="10">
        <f>VLOOKUP($A530,$A$4:$R$132,12,FALSE)</f>
        <v>0</v>
      </c>
      <c r="M530" s="10">
        <f>VLOOKUP($A530,$A$4:$R$132,13,FALSE)</f>
        <v>40718</v>
      </c>
      <c r="N530" s="10">
        <f>VLOOKUP($A530,$A$4:$R$132,14,FALSE)</f>
        <v>40131</v>
      </c>
      <c r="O530" s="10">
        <f>VLOOKUP($A530,$A$4:$R$132,15,FALSE)</f>
        <v>37952</v>
      </c>
      <c r="P530" s="10">
        <f>VLOOKUP($A530,$A$4:$R$132,16,FALSE)</f>
        <v>0</v>
      </c>
      <c r="Q530" s="10">
        <f>VLOOKUP($A530,$A$4:$R$132,17,FALSE)</f>
        <v>44583</v>
      </c>
      <c r="R530" s="10">
        <f>VLOOKUP($A530,$A$4:$R$132,18,FALSE)</f>
        <v>44583</v>
      </c>
    </row>
    <row r="531" spans="1:18" x14ac:dyDescent="0.2">
      <c r="A531" s="8">
        <v>11500</v>
      </c>
      <c r="B531" s="77" t="str">
        <f>VLOOKUP($A531,$A$5:$K$132,2,FALSE)</f>
        <v>Campbelltown</v>
      </c>
      <c r="C531" s="9" t="str">
        <f>VLOOKUP($A531,$A$5:$K$133,3,FALSE)</f>
        <v>MSWA</v>
      </c>
      <c r="D531" s="45" t="str">
        <f>VLOOKUP($A531,$A$5:$K$133,4,FALSE)</f>
        <v>S</v>
      </c>
      <c r="E531" s="10">
        <f>VLOOKUP($A531,$A$5:$R$132,5,FALSE)</f>
        <v>0</v>
      </c>
      <c r="F531" s="10">
        <f>VLOOKUP($A531,$A$5:$R$132,6,FALSE)</f>
        <v>184784</v>
      </c>
      <c r="G531" s="10">
        <f>VLOOKUP($A531,$A$5:$R$132,7,FALSE)</f>
        <v>62430</v>
      </c>
      <c r="H531" s="10">
        <f>VLOOKUP($A531,$A$5:$R$132,8,FALSE)</f>
        <v>2.9598590421271824</v>
      </c>
      <c r="I531" s="10">
        <f>VLOOKUP($A531,$A$5:$R$132,9,FALSE)</f>
        <v>311.39999999999998</v>
      </c>
      <c r="J531" s="10">
        <f>VLOOKUP($A531,$A$5:$R$132,10,FALSE)</f>
        <v>593.4</v>
      </c>
      <c r="K531" s="10">
        <f>VLOOKUP($A531,$A$5:$R$132,11,FALSE)</f>
        <v>417.76</v>
      </c>
      <c r="L531" s="10">
        <f>VLOOKUP($A531,$A$4:$R$132,12,FALSE)</f>
        <v>0</v>
      </c>
      <c r="M531" s="10">
        <f>VLOOKUP($A531,$A$4:$R$132,13,FALSE)</f>
        <v>60300</v>
      </c>
      <c r="N531" s="10">
        <f>VLOOKUP($A531,$A$4:$R$132,14,FALSE)</f>
        <v>59910</v>
      </c>
      <c r="O531" s="10">
        <f>VLOOKUP($A531,$A$4:$R$132,15,FALSE)</f>
        <v>57664</v>
      </c>
      <c r="P531" s="10">
        <f>VLOOKUP($A531,$A$4:$R$132,16,FALSE)</f>
        <v>0</v>
      </c>
      <c r="Q531" s="10">
        <f>VLOOKUP($A531,$A$4:$R$132,17,FALSE)</f>
        <v>62430</v>
      </c>
      <c r="R531" s="10">
        <f>VLOOKUP($A531,$A$4:$R$132,18,FALSE)</f>
        <v>62430</v>
      </c>
    </row>
    <row r="532" spans="1:18" ht="13.5" thickBot="1" x14ac:dyDescent="0.25">
      <c r="A532" s="8">
        <v>18400</v>
      </c>
      <c r="B532" s="77" t="str">
        <f>VLOOKUP($A532,$A$5:$K$132,2,FALSE)</f>
        <v>Wollondilly</v>
      </c>
      <c r="C532" s="9" t="str">
        <f>VLOOKUP($A532,$A$5:$K$133,3,FALSE)</f>
        <v>MSWA</v>
      </c>
      <c r="D532" s="45" t="str">
        <f>VLOOKUP($A532,$A$5:$K$133,4,FALSE)</f>
        <v>R</v>
      </c>
      <c r="E532" s="10">
        <f>VLOOKUP($A532,$A$5:$R$132,5,FALSE)</f>
        <v>0</v>
      </c>
      <c r="F532" s="10">
        <f>VLOOKUP($A532,$A$5:$R$132,6,FALSE)</f>
        <v>57616</v>
      </c>
      <c r="G532" s="10">
        <f>VLOOKUP($A532,$A$5:$R$132,7,FALSE)</f>
        <v>22243</v>
      </c>
      <c r="H532" s="10">
        <f>VLOOKUP($A532,$A$5:$R$132,8,FALSE)</f>
        <v>2.5902980713033315</v>
      </c>
      <c r="I532" s="10">
        <f>VLOOKUP($A532,$A$5:$R$132,9,FALSE)</f>
        <v>2555.4</v>
      </c>
      <c r="J532" s="10">
        <f>VLOOKUP($A532,$A$5:$R$132,10,FALSE)</f>
        <v>22.5</v>
      </c>
      <c r="K532" s="10">
        <f>VLOOKUP($A532,$A$5:$R$132,11,FALSE)</f>
        <v>586.1</v>
      </c>
      <c r="L532" s="10">
        <f>VLOOKUP($A532,$A$4:$R$132,12,FALSE)</f>
        <v>0</v>
      </c>
      <c r="M532" s="10">
        <f>VLOOKUP($A532,$A$4:$R$132,13,FALSE)</f>
        <v>18964</v>
      </c>
      <c r="N532" s="10">
        <f>VLOOKUP($A532,$A$4:$R$132,14,FALSE)</f>
        <v>18796</v>
      </c>
      <c r="O532" s="10">
        <f>VLOOKUP($A532,$A$4:$R$132,15,FALSE)</f>
        <v>13204</v>
      </c>
      <c r="P532" s="10">
        <f>VLOOKUP($A532,$A$4:$R$132,16,FALSE)</f>
        <v>0</v>
      </c>
      <c r="Q532" s="10">
        <f>VLOOKUP($A532,$A$4:$R$132,17,FALSE)</f>
        <v>22243</v>
      </c>
      <c r="R532" s="10">
        <f>VLOOKUP($A532,$A$4:$R$132,18,FALSE)</f>
        <v>22243</v>
      </c>
    </row>
    <row r="533" spans="1:18" ht="13.5" thickTop="1" x14ac:dyDescent="0.2">
      <c r="A533" s="11"/>
      <c r="B533" s="11"/>
      <c r="C533" s="11" t="s">
        <v>26</v>
      </c>
      <c r="D533" s="11"/>
      <c r="E533" s="12"/>
      <c r="F533" s="13">
        <f t="shared" ref="F533:R533" si="373">COUNTIF(F530:F532,"&gt;0")</f>
        <v>3</v>
      </c>
      <c r="G533" s="13">
        <f t="shared" si="373"/>
        <v>3</v>
      </c>
      <c r="H533" s="13">
        <f t="shared" si="373"/>
        <v>3</v>
      </c>
      <c r="I533" s="13">
        <f t="shared" si="373"/>
        <v>3</v>
      </c>
      <c r="J533" s="13">
        <f t="shared" si="373"/>
        <v>3</v>
      </c>
      <c r="K533" s="13">
        <f t="shared" si="373"/>
        <v>3</v>
      </c>
      <c r="L533" s="13">
        <f t="shared" si="373"/>
        <v>0</v>
      </c>
      <c r="M533" s="13">
        <f t="shared" si="373"/>
        <v>3</v>
      </c>
      <c r="N533" s="13">
        <f t="shared" si="373"/>
        <v>3</v>
      </c>
      <c r="O533" s="13">
        <f t="shared" si="373"/>
        <v>3</v>
      </c>
      <c r="P533" s="13">
        <f t="shared" si="373"/>
        <v>0</v>
      </c>
      <c r="Q533" s="13">
        <f t="shared" si="373"/>
        <v>3</v>
      </c>
      <c r="R533" s="13">
        <f t="shared" si="373"/>
        <v>3</v>
      </c>
    </row>
    <row r="534" spans="1:18" x14ac:dyDescent="0.2">
      <c r="A534" s="8"/>
      <c r="B534" s="8"/>
      <c r="C534" s="8" t="s">
        <v>27</v>
      </c>
      <c r="D534" s="8"/>
      <c r="E534" s="69"/>
      <c r="F534" s="15">
        <f>SUM(F530:F532)</f>
        <v>377211</v>
      </c>
      <c r="G534" s="15">
        <f>SUM(G530:G532)</f>
        <v>129256</v>
      </c>
      <c r="H534" s="93">
        <f>F534/G534</f>
        <v>2.9183248746673267</v>
      </c>
      <c r="I534" s="15">
        <f t="shared" ref="I534:R534" si="374">SUM(I530:I532)</f>
        <v>3068.3</v>
      </c>
      <c r="J534" s="15">
        <f t="shared" si="374"/>
        <v>1284.8</v>
      </c>
      <c r="K534" s="15">
        <f t="shared" si="374"/>
        <v>1387.8600000000001</v>
      </c>
      <c r="L534" s="15">
        <f t="shared" si="374"/>
        <v>0</v>
      </c>
      <c r="M534" s="15">
        <f t="shared" si="374"/>
        <v>119982</v>
      </c>
      <c r="N534" s="15">
        <f t="shared" si="374"/>
        <v>118837</v>
      </c>
      <c r="O534" s="15">
        <f t="shared" si="374"/>
        <v>108820</v>
      </c>
      <c r="P534" s="15">
        <f t="shared" si="374"/>
        <v>0</v>
      </c>
      <c r="Q534" s="15">
        <f t="shared" si="374"/>
        <v>129256</v>
      </c>
      <c r="R534" s="15">
        <f t="shared" si="374"/>
        <v>129256</v>
      </c>
    </row>
    <row r="535" spans="1:18" x14ac:dyDescent="0.2">
      <c r="A535" s="8"/>
      <c r="B535" s="8"/>
      <c r="C535" s="8" t="s">
        <v>28</v>
      </c>
      <c r="D535" s="8"/>
      <c r="E535" s="69"/>
      <c r="F535" s="10">
        <f t="shared" ref="F535:R535" si="375">MIN(F530:F532)</f>
        <v>57616</v>
      </c>
      <c r="G535" s="10">
        <f t="shared" si="375"/>
        <v>22243</v>
      </c>
      <c r="H535" s="10">
        <f t="shared" si="375"/>
        <v>2.5902980713033315</v>
      </c>
      <c r="I535" s="10">
        <f t="shared" si="375"/>
        <v>201.5</v>
      </c>
      <c r="J535" s="10">
        <f t="shared" si="375"/>
        <v>22.5</v>
      </c>
      <c r="K535" s="10">
        <f t="shared" si="375"/>
        <v>384</v>
      </c>
      <c r="L535" s="10">
        <f t="shared" si="375"/>
        <v>0</v>
      </c>
      <c r="M535" s="10">
        <f t="shared" si="375"/>
        <v>18964</v>
      </c>
      <c r="N535" s="10">
        <f t="shared" si="375"/>
        <v>18796</v>
      </c>
      <c r="O535" s="10">
        <f t="shared" si="375"/>
        <v>13204</v>
      </c>
      <c r="P535" s="10">
        <f t="shared" si="375"/>
        <v>0</v>
      </c>
      <c r="Q535" s="10">
        <f t="shared" si="375"/>
        <v>22243</v>
      </c>
      <c r="R535" s="10">
        <f t="shared" si="375"/>
        <v>22243</v>
      </c>
    </row>
    <row r="536" spans="1:18" x14ac:dyDescent="0.2">
      <c r="A536" s="8"/>
      <c r="B536" s="8"/>
      <c r="C536" s="8" t="s">
        <v>29</v>
      </c>
      <c r="D536" s="8"/>
      <c r="E536" s="69"/>
      <c r="F536" s="10">
        <f t="shared" ref="F536:R536" si="376">MAX(F530:F532)</f>
        <v>184784</v>
      </c>
      <c r="G536" s="10">
        <f t="shared" si="376"/>
        <v>62430</v>
      </c>
      <c r="H536" s="10">
        <f t="shared" si="376"/>
        <v>3.0238207388466454</v>
      </c>
      <c r="I536" s="10">
        <f t="shared" si="376"/>
        <v>2555.4</v>
      </c>
      <c r="J536" s="10">
        <f t="shared" si="376"/>
        <v>668.9</v>
      </c>
      <c r="K536" s="10">
        <f t="shared" si="376"/>
        <v>586.1</v>
      </c>
      <c r="L536" s="10">
        <f t="shared" si="376"/>
        <v>0</v>
      </c>
      <c r="M536" s="10">
        <f t="shared" si="376"/>
        <v>60300</v>
      </c>
      <c r="N536" s="10">
        <f t="shared" si="376"/>
        <v>59910</v>
      </c>
      <c r="O536" s="10">
        <f t="shared" si="376"/>
        <v>57664</v>
      </c>
      <c r="P536" s="10">
        <f t="shared" si="376"/>
        <v>0</v>
      </c>
      <c r="Q536" s="10">
        <f t="shared" si="376"/>
        <v>62430</v>
      </c>
      <c r="R536" s="10">
        <f t="shared" si="376"/>
        <v>62430</v>
      </c>
    </row>
    <row r="537" spans="1:18" x14ac:dyDescent="0.2">
      <c r="A537" s="8"/>
      <c r="B537" s="8"/>
      <c r="C537" s="8" t="s">
        <v>30</v>
      </c>
      <c r="D537" s="8"/>
      <c r="E537" s="69"/>
      <c r="F537" s="10">
        <f t="shared" ref="F537:R537" si="377">AVERAGE(F530:F532)</f>
        <v>125737</v>
      </c>
      <c r="G537" s="10">
        <f t="shared" si="377"/>
        <v>43085.333333333336</v>
      </c>
      <c r="H537" s="10">
        <f t="shared" si="377"/>
        <v>2.8579926174257202</v>
      </c>
      <c r="I537" s="10">
        <f t="shared" si="377"/>
        <v>1022.7666666666668</v>
      </c>
      <c r="J537" s="10">
        <f t="shared" si="377"/>
        <v>428.26666666666665</v>
      </c>
      <c r="K537" s="10">
        <f t="shared" si="377"/>
        <v>462.62000000000006</v>
      </c>
      <c r="L537" s="10">
        <f t="shared" si="377"/>
        <v>0</v>
      </c>
      <c r="M537" s="10">
        <f t="shared" si="377"/>
        <v>39994</v>
      </c>
      <c r="N537" s="10">
        <f t="shared" si="377"/>
        <v>39612.333333333336</v>
      </c>
      <c r="O537" s="10">
        <f t="shared" si="377"/>
        <v>36273.333333333336</v>
      </c>
      <c r="P537" s="10">
        <f t="shared" si="377"/>
        <v>0</v>
      </c>
      <c r="Q537" s="10">
        <f t="shared" si="377"/>
        <v>43085.333333333336</v>
      </c>
      <c r="R537" s="10">
        <f t="shared" si="377"/>
        <v>43085.333333333336</v>
      </c>
    </row>
    <row r="538" spans="1:18" ht="13.5" thickBot="1" x14ac:dyDescent="0.25">
      <c r="A538" s="16"/>
      <c r="B538" s="16"/>
      <c r="C538" s="16" t="s">
        <v>31</v>
      </c>
      <c r="D538" s="16"/>
      <c r="E538" s="69"/>
      <c r="F538" s="18">
        <f t="shared" ref="F538:R538" si="378">MEDIAN(F530:F532)</f>
        <v>134811</v>
      </c>
      <c r="G538" s="18">
        <f t="shared" si="378"/>
        <v>44583</v>
      </c>
      <c r="H538" s="18">
        <f t="shared" si="378"/>
        <v>2.9598590421271824</v>
      </c>
      <c r="I538" s="18">
        <f t="shared" si="378"/>
        <v>311.39999999999998</v>
      </c>
      <c r="J538" s="18">
        <f t="shared" si="378"/>
        <v>593.4</v>
      </c>
      <c r="K538" s="18">
        <f t="shared" si="378"/>
        <v>417.76</v>
      </c>
      <c r="L538" s="18">
        <f t="shared" si="378"/>
        <v>0</v>
      </c>
      <c r="M538" s="18">
        <f t="shared" si="378"/>
        <v>40718</v>
      </c>
      <c r="N538" s="18">
        <f t="shared" si="378"/>
        <v>40131</v>
      </c>
      <c r="O538" s="18">
        <f t="shared" si="378"/>
        <v>37952</v>
      </c>
      <c r="P538" s="18">
        <f t="shared" si="378"/>
        <v>0</v>
      </c>
      <c r="Q538" s="18">
        <f t="shared" si="378"/>
        <v>44583</v>
      </c>
      <c r="R538" s="18">
        <f t="shared" si="378"/>
        <v>44583</v>
      </c>
    </row>
    <row r="539" spans="1:18" ht="13.5" thickTop="1" x14ac:dyDescent="0.2">
      <c r="B539"/>
      <c r="C539" s="5"/>
      <c r="D539" s="5"/>
    </row>
    <row r="540" spans="1:18" ht="13.5" thickBot="1" x14ac:dyDescent="0.25">
      <c r="A540" s="25"/>
      <c r="B540" s="25"/>
      <c r="C540" s="27" t="s">
        <v>24</v>
      </c>
      <c r="D540" s="27"/>
    </row>
    <row r="541" spans="1:18" ht="13.5" thickTop="1" x14ac:dyDescent="0.2">
      <c r="A541" s="8">
        <v>14000</v>
      </c>
      <c r="B541" s="77" t="str">
        <f t="shared" ref="B541:B548" si="379">VLOOKUP($A541,$A$5:$K$132,2,FALSE)</f>
        <v>Hornsby</v>
      </c>
      <c r="C541" s="9" t="str">
        <f t="shared" ref="C541:C548" si="380">VLOOKUP($A541,$A$5:$K$133,3,FALSE)</f>
        <v>NSROC</v>
      </c>
      <c r="D541" s="45" t="str">
        <f t="shared" ref="D541:D548" si="381">VLOOKUP($A541,$A$5:$K$133,4,FALSE)</f>
        <v>S</v>
      </c>
      <c r="E541" s="10">
        <f t="shared" ref="E541:E548" si="382">VLOOKUP($A541,$A$5:$R$132,5,FALSE)</f>
        <v>0</v>
      </c>
      <c r="F541" s="10">
        <f t="shared" ref="F541:F548" si="383">VLOOKUP($A541,$A$5:$R$132,6,FALSE)</f>
        <v>154072</v>
      </c>
      <c r="G541" s="10">
        <f t="shared" ref="G541:G548" si="384">VLOOKUP($A541,$A$5:$R$132,7,FALSE)</f>
        <v>53500</v>
      </c>
      <c r="H541" s="10">
        <f t="shared" ref="H541:H548" si="385">VLOOKUP($A541,$A$5:$R$132,8,FALSE)</f>
        <v>2.8798504672897196</v>
      </c>
      <c r="I541" s="10">
        <f t="shared" ref="I541:I548" si="386">VLOOKUP($A541,$A$5:$R$132,9,FALSE)</f>
        <v>455</v>
      </c>
      <c r="J541" s="10">
        <f t="shared" ref="J541:J548" si="387">VLOOKUP($A541,$A$5:$R$132,10,FALSE)</f>
        <v>338.6</v>
      </c>
      <c r="K541" s="10">
        <f t="shared" ref="K541:K548" si="388">VLOOKUP($A541,$A$5:$R$132,11,FALSE)</f>
        <v>636</v>
      </c>
      <c r="L541" s="10">
        <f t="shared" ref="L541:L548" si="389">VLOOKUP($A541,$A$4:$R$132,12,FALSE)</f>
        <v>0</v>
      </c>
      <c r="M541" s="10">
        <f t="shared" ref="M541:M548" si="390">VLOOKUP($A541,$A$4:$R$132,13,FALSE)</f>
        <v>53500</v>
      </c>
      <c r="N541" s="10">
        <f t="shared" ref="N541:N548" si="391">VLOOKUP($A541,$A$4:$R$132,14,FALSE)</f>
        <v>53500</v>
      </c>
      <c r="O541" s="10">
        <f t="shared" ref="O541:O548" si="392">VLOOKUP($A541,$A$4:$R$132,15,FALSE)</f>
        <v>53500</v>
      </c>
      <c r="P541" s="10">
        <f t="shared" ref="P541:P548" si="393">VLOOKUP($A541,$A$4:$R$132,16,FALSE)</f>
        <v>0</v>
      </c>
      <c r="Q541" s="10">
        <f t="shared" ref="Q541:Q548" si="394">VLOOKUP($A541,$A$4:$R$132,17,FALSE)</f>
        <v>53500</v>
      </c>
      <c r="R541" s="10">
        <f t="shared" ref="R541:R548" si="395">VLOOKUP($A541,$A$4:$R$132,18,FALSE)</f>
        <v>53500</v>
      </c>
    </row>
    <row r="542" spans="1:18" x14ac:dyDescent="0.2">
      <c r="A542" s="8">
        <v>14100</v>
      </c>
      <c r="B542" s="77" t="str">
        <f t="shared" si="379"/>
        <v>Hunters Hill</v>
      </c>
      <c r="C542" s="9" t="str">
        <f t="shared" si="380"/>
        <v>NSROC</v>
      </c>
      <c r="D542" s="45" t="str">
        <f t="shared" si="381"/>
        <v>S</v>
      </c>
      <c r="E542" s="10">
        <f t="shared" si="382"/>
        <v>0</v>
      </c>
      <c r="F542" s="10">
        <f t="shared" si="383"/>
        <v>14036</v>
      </c>
      <c r="G542" s="10">
        <f t="shared" si="384"/>
        <v>5776</v>
      </c>
      <c r="H542" s="10">
        <f t="shared" si="385"/>
        <v>2.4300554016620497</v>
      </c>
      <c r="I542" s="10">
        <f t="shared" si="386"/>
        <v>5.7</v>
      </c>
      <c r="J542" s="10">
        <f t="shared" si="387"/>
        <v>2455.1999999999998</v>
      </c>
      <c r="K542" s="10">
        <f t="shared" si="388"/>
        <v>410</v>
      </c>
      <c r="L542" s="10">
        <f t="shared" si="389"/>
        <v>0</v>
      </c>
      <c r="M542" s="10">
        <f t="shared" si="390"/>
        <v>5271</v>
      </c>
      <c r="N542" s="10">
        <f t="shared" si="391"/>
        <v>5275</v>
      </c>
      <c r="O542" s="10">
        <f t="shared" si="392"/>
        <v>5265</v>
      </c>
      <c r="P542" s="10">
        <f t="shared" si="393"/>
        <v>0</v>
      </c>
      <c r="Q542" s="10">
        <f t="shared" si="394"/>
        <v>5776</v>
      </c>
      <c r="R542" s="10">
        <f t="shared" si="395"/>
        <v>5776</v>
      </c>
    </row>
    <row r="543" spans="1:18" x14ac:dyDescent="0.2">
      <c r="A543" s="8">
        <v>14500</v>
      </c>
      <c r="B543" s="77" t="str">
        <f t="shared" si="379"/>
        <v>Ku-ring-gai</v>
      </c>
      <c r="C543" s="9" t="str">
        <f t="shared" si="380"/>
        <v>NSROC</v>
      </c>
      <c r="D543" s="45" t="str">
        <f t="shared" si="381"/>
        <v>S</v>
      </c>
      <c r="E543" s="10">
        <f t="shared" si="382"/>
        <v>0</v>
      </c>
      <c r="F543" s="10">
        <f t="shared" si="383"/>
        <v>126983</v>
      </c>
      <c r="G543" s="10">
        <f t="shared" si="384"/>
        <v>48275</v>
      </c>
      <c r="H543" s="10">
        <f t="shared" si="385"/>
        <v>2.6304091144484723</v>
      </c>
      <c r="I543" s="10">
        <f t="shared" si="386"/>
        <v>85.4</v>
      </c>
      <c r="J543" s="10">
        <f t="shared" si="387"/>
        <v>1486.8</v>
      </c>
      <c r="K543" s="10">
        <f t="shared" si="388"/>
        <v>487</v>
      </c>
      <c r="L543" s="10">
        <f t="shared" si="389"/>
        <v>0</v>
      </c>
      <c r="M543" s="10">
        <f t="shared" si="390"/>
        <v>45239</v>
      </c>
      <c r="N543" s="10">
        <f t="shared" si="391"/>
        <v>45658</v>
      </c>
      <c r="O543" s="10">
        <f t="shared" si="392"/>
        <v>35365</v>
      </c>
      <c r="P543" s="10">
        <f t="shared" si="393"/>
        <v>0</v>
      </c>
      <c r="Q543" s="10">
        <f t="shared" si="394"/>
        <v>48275</v>
      </c>
      <c r="R543" s="10">
        <f t="shared" si="395"/>
        <v>48275</v>
      </c>
    </row>
    <row r="544" spans="1:18" x14ac:dyDescent="0.2">
      <c r="A544" s="8">
        <v>14700</v>
      </c>
      <c r="B544" s="77" t="str">
        <f t="shared" si="379"/>
        <v>Lane Cove</v>
      </c>
      <c r="C544" s="9" t="str">
        <f t="shared" si="380"/>
        <v>NSROC</v>
      </c>
      <c r="D544" s="45" t="str">
        <f t="shared" si="381"/>
        <v>S</v>
      </c>
      <c r="E544" s="10">
        <f t="shared" si="382"/>
        <v>0</v>
      </c>
      <c r="F544" s="10">
        <f t="shared" si="383"/>
        <v>41549</v>
      </c>
      <c r="G544" s="10">
        <f t="shared" si="384"/>
        <v>18945</v>
      </c>
      <c r="H544" s="10">
        <f t="shared" si="385"/>
        <v>2.1931380311427819</v>
      </c>
      <c r="I544" s="10">
        <f t="shared" si="386"/>
        <v>10.5</v>
      </c>
      <c r="J544" s="10">
        <f t="shared" si="387"/>
        <v>3965</v>
      </c>
      <c r="K544" s="10">
        <f t="shared" si="388"/>
        <v>498</v>
      </c>
      <c r="L544" s="10">
        <f t="shared" si="389"/>
        <v>0</v>
      </c>
      <c r="M544" s="10">
        <f t="shared" si="390"/>
        <v>18807</v>
      </c>
      <c r="N544" s="10">
        <f t="shared" si="391"/>
        <v>18807</v>
      </c>
      <c r="O544" s="10">
        <f t="shared" si="392"/>
        <v>6804</v>
      </c>
      <c r="P544" s="10">
        <f t="shared" si="393"/>
        <v>0</v>
      </c>
      <c r="Q544" s="10">
        <f t="shared" si="394"/>
        <v>18945</v>
      </c>
      <c r="R544" s="10">
        <f t="shared" si="395"/>
        <v>18945</v>
      </c>
    </row>
    <row r="545" spans="1:18" x14ac:dyDescent="0.2">
      <c r="A545" s="8">
        <v>15950</v>
      </c>
      <c r="B545" s="77" t="str">
        <f t="shared" si="379"/>
        <v>North Sydney</v>
      </c>
      <c r="C545" s="9" t="str">
        <f t="shared" si="380"/>
        <v>NSROC</v>
      </c>
      <c r="D545" s="45" t="str">
        <f t="shared" si="381"/>
        <v>S</v>
      </c>
      <c r="E545" s="10">
        <f t="shared" si="382"/>
        <v>0</v>
      </c>
      <c r="F545" s="10">
        <f t="shared" si="383"/>
        <v>72014</v>
      </c>
      <c r="G545" s="10">
        <f t="shared" si="384"/>
        <v>40857</v>
      </c>
      <c r="H545" s="10">
        <f t="shared" si="385"/>
        <v>1.762586582470568</v>
      </c>
      <c r="I545" s="10">
        <f t="shared" si="386"/>
        <v>10.5</v>
      </c>
      <c r="J545" s="10">
        <f t="shared" si="387"/>
        <v>6864.4</v>
      </c>
      <c r="K545" s="10">
        <f t="shared" si="388"/>
        <v>424</v>
      </c>
      <c r="L545" s="10">
        <f t="shared" si="389"/>
        <v>0</v>
      </c>
      <c r="M545" s="10">
        <f t="shared" si="390"/>
        <v>8193</v>
      </c>
      <c r="N545" s="10">
        <f t="shared" si="391"/>
        <v>6428</v>
      </c>
      <c r="O545" s="10">
        <f t="shared" si="392"/>
        <v>0</v>
      </c>
      <c r="P545" s="10">
        <f t="shared" si="393"/>
        <v>0</v>
      </c>
      <c r="Q545" s="10">
        <f t="shared" si="394"/>
        <v>40857</v>
      </c>
      <c r="R545" s="10">
        <f t="shared" si="395"/>
        <v>40857</v>
      </c>
    </row>
    <row r="546" spans="1:18" x14ac:dyDescent="0.2">
      <c r="A546" s="8">
        <v>15350</v>
      </c>
      <c r="B546" s="77" t="str">
        <f t="shared" si="379"/>
        <v>Mosman</v>
      </c>
      <c r="C546" s="9" t="str">
        <f t="shared" si="380"/>
        <v>NSROC</v>
      </c>
      <c r="D546" s="45" t="str">
        <f t="shared" si="381"/>
        <v>S</v>
      </c>
      <c r="E546" s="10">
        <f t="shared" si="382"/>
        <v>0</v>
      </c>
      <c r="F546" s="10">
        <f t="shared" si="383"/>
        <v>29071</v>
      </c>
      <c r="G546" s="10">
        <f t="shared" si="384"/>
        <v>13350</v>
      </c>
      <c r="H546" s="10">
        <f t="shared" si="385"/>
        <v>2.1776029962546817</v>
      </c>
      <c r="I546" s="10">
        <f t="shared" si="386"/>
        <v>8.6999999999999993</v>
      </c>
      <c r="J546" s="10">
        <f t="shared" si="387"/>
        <v>3360.7</v>
      </c>
      <c r="K546" s="10">
        <f t="shared" si="388"/>
        <v>649</v>
      </c>
      <c r="L546" s="10">
        <f t="shared" si="389"/>
        <v>0</v>
      </c>
      <c r="M546" s="10">
        <f t="shared" si="390"/>
        <v>13350</v>
      </c>
      <c r="N546" s="10">
        <f t="shared" si="391"/>
        <v>13350</v>
      </c>
      <c r="O546" s="10">
        <f t="shared" si="392"/>
        <v>13350</v>
      </c>
      <c r="P546" s="10">
        <f t="shared" si="393"/>
        <v>0</v>
      </c>
      <c r="Q546" s="10">
        <f t="shared" si="394"/>
        <v>13350</v>
      </c>
      <c r="R546" s="10">
        <f t="shared" si="395"/>
        <v>13350</v>
      </c>
    </row>
    <row r="547" spans="1:18" x14ac:dyDescent="0.2">
      <c r="A547" s="8">
        <v>16700</v>
      </c>
      <c r="B547" s="77" t="str">
        <f t="shared" si="379"/>
        <v>Ryde</v>
      </c>
      <c r="C547" s="9" t="str">
        <f t="shared" si="380"/>
        <v>NSROC</v>
      </c>
      <c r="D547" s="45" t="str">
        <f t="shared" si="381"/>
        <v>S</v>
      </c>
      <c r="E547" s="10">
        <f t="shared" si="382"/>
        <v>0</v>
      </c>
      <c r="F547" s="10">
        <f t="shared" si="383"/>
        <v>135716</v>
      </c>
      <c r="G547" s="10">
        <f t="shared" si="384"/>
        <v>55382</v>
      </c>
      <c r="H547" s="10">
        <f t="shared" si="385"/>
        <v>2.4505434978874003</v>
      </c>
      <c r="I547" s="10">
        <f t="shared" si="386"/>
        <v>40.5</v>
      </c>
      <c r="J547" s="10">
        <f t="shared" si="387"/>
        <v>3353.1</v>
      </c>
      <c r="K547" s="10">
        <f t="shared" si="388"/>
        <v>422</v>
      </c>
      <c r="L547" s="10">
        <f t="shared" si="389"/>
        <v>0</v>
      </c>
      <c r="M547" s="10">
        <f t="shared" si="390"/>
        <v>53045</v>
      </c>
      <c r="N547" s="10">
        <f t="shared" si="391"/>
        <v>55387</v>
      </c>
      <c r="O547" s="10">
        <f t="shared" si="392"/>
        <v>29086</v>
      </c>
      <c r="P547" s="10">
        <f t="shared" si="393"/>
        <v>0</v>
      </c>
      <c r="Q547" s="10">
        <f t="shared" si="394"/>
        <v>55382</v>
      </c>
      <c r="R547" s="10">
        <f t="shared" si="395"/>
        <v>55382</v>
      </c>
    </row>
    <row r="548" spans="1:18" ht="13.5" thickBot="1" x14ac:dyDescent="0.25">
      <c r="A548" s="8">
        <v>18250</v>
      </c>
      <c r="B548" s="77" t="str">
        <f t="shared" si="379"/>
        <v>Willoughby</v>
      </c>
      <c r="C548" s="9" t="str">
        <f t="shared" si="380"/>
        <v>NSROC</v>
      </c>
      <c r="D548" s="45" t="str">
        <f t="shared" si="381"/>
        <v>S</v>
      </c>
      <c r="E548" s="10">
        <f t="shared" si="382"/>
        <v>0</v>
      </c>
      <c r="F548" s="10">
        <f t="shared" si="383"/>
        <v>77874</v>
      </c>
      <c r="G548" s="10">
        <f t="shared" si="384"/>
        <v>30797</v>
      </c>
      <c r="H548" s="10">
        <f t="shared" si="385"/>
        <v>2.5286229178166706</v>
      </c>
      <c r="I548" s="10">
        <f t="shared" si="386"/>
        <v>22.4</v>
      </c>
      <c r="J548" s="10">
        <f t="shared" si="387"/>
        <v>3472.5</v>
      </c>
      <c r="K548" s="10">
        <f t="shared" si="388"/>
        <v>561.5</v>
      </c>
      <c r="L548" s="10">
        <f t="shared" si="389"/>
        <v>0</v>
      </c>
      <c r="M548" s="10">
        <f t="shared" si="390"/>
        <v>18259</v>
      </c>
      <c r="N548" s="10">
        <f t="shared" si="391"/>
        <v>18716</v>
      </c>
      <c r="O548" s="10">
        <f t="shared" si="392"/>
        <v>16752</v>
      </c>
      <c r="P548" s="10">
        <f t="shared" si="393"/>
        <v>0</v>
      </c>
      <c r="Q548" s="10">
        <f t="shared" si="394"/>
        <v>30797</v>
      </c>
      <c r="R548" s="10">
        <f t="shared" si="395"/>
        <v>30797</v>
      </c>
    </row>
    <row r="549" spans="1:18" ht="13.5" thickTop="1" x14ac:dyDescent="0.2">
      <c r="A549" s="11"/>
      <c r="B549" s="11"/>
      <c r="C549" s="11" t="s">
        <v>26</v>
      </c>
      <c r="D549" s="11"/>
      <c r="E549" s="12"/>
      <c r="F549" s="13">
        <f t="shared" ref="F549:R549" si="396">COUNTIF(F541:F548,"&gt;0")</f>
        <v>8</v>
      </c>
      <c r="G549" s="13">
        <f t="shared" si="396"/>
        <v>8</v>
      </c>
      <c r="H549" s="13">
        <f t="shared" si="396"/>
        <v>8</v>
      </c>
      <c r="I549" s="13">
        <f t="shared" si="396"/>
        <v>8</v>
      </c>
      <c r="J549" s="13">
        <f t="shared" si="396"/>
        <v>8</v>
      </c>
      <c r="K549" s="13">
        <f t="shared" si="396"/>
        <v>8</v>
      </c>
      <c r="L549" s="13">
        <f t="shared" si="396"/>
        <v>0</v>
      </c>
      <c r="M549" s="13">
        <f t="shared" si="396"/>
        <v>8</v>
      </c>
      <c r="N549" s="13">
        <f t="shared" si="396"/>
        <v>8</v>
      </c>
      <c r="O549" s="13">
        <f t="shared" si="396"/>
        <v>7</v>
      </c>
      <c r="P549" s="13">
        <f t="shared" si="396"/>
        <v>0</v>
      </c>
      <c r="Q549" s="13">
        <f t="shared" si="396"/>
        <v>8</v>
      </c>
      <c r="R549" s="13">
        <f t="shared" si="396"/>
        <v>8</v>
      </c>
    </row>
    <row r="550" spans="1:18" x14ac:dyDescent="0.2">
      <c r="A550" s="8"/>
      <c r="B550" s="8"/>
      <c r="C550" s="8" t="s">
        <v>27</v>
      </c>
      <c r="D550" s="8"/>
      <c r="E550" s="69"/>
      <c r="F550" s="15">
        <f>SUM(F541:F548)</f>
        <v>651315</v>
      </c>
      <c r="G550" s="15">
        <f t="shared" ref="G550:R550" si="397">SUM(G541:G548)</f>
        <v>266882</v>
      </c>
      <c r="H550" s="93">
        <f>F550/G550</f>
        <v>2.4404605780831976</v>
      </c>
      <c r="I550" s="15">
        <f t="shared" si="397"/>
        <v>638.70000000000005</v>
      </c>
      <c r="J550" s="15">
        <f t="shared" si="397"/>
        <v>25296.299999999996</v>
      </c>
      <c r="K550" s="15">
        <f t="shared" si="397"/>
        <v>4087.5</v>
      </c>
      <c r="L550" s="15">
        <f t="shared" si="397"/>
        <v>0</v>
      </c>
      <c r="M550" s="15">
        <f t="shared" si="397"/>
        <v>215664</v>
      </c>
      <c r="N550" s="15">
        <f t="shared" si="397"/>
        <v>217121</v>
      </c>
      <c r="O550" s="15">
        <f t="shared" si="397"/>
        <v>160122</v>
      </c>
      <c r="P550" s="15">
        <f t="shared" si="397"/>
        <v>0</v>
      </c>
      <c r="Q550" s="15">
        <f t="shared" si="397"/>
        <v>266882</v>
      </c>
      <c r="R550" s="15">
        <f t="shared" si="397"/>
        <v>266882</v>
      </c>
    </row>
    <row r="551" spans="1:18" x14ac:dyDescent="0.2">
      <c r="A551" s="8"/>
      <c r="B551" s="8"/>
      <c r="C551" s="8" t="s">
        <v>28</v>
      </c>
      <c r="D551" s="8"/>
      <c r="E551" s="69"/>
      <c r="F551" s="10">
        <f t="shared" ref="F551:R551" si="398">MIN(F541:F548)</f>
        <v>14036</v>
      </c>
      <c r="G551" s="10">
        <f t="shared" si="398"/>
        <v>5776</v>
      </c>
      <c r="H551" s="10">
        <f t="shared" si="398"/>
        <v>1.762586582470568</v>
      </c>
      <c r="I551" s="10">
        <f t="shared" si="398"/>
        <v>5.7</v>
      </c>
      <c r="J551" s="10">
        <f t="shared" si="398"/>
        <v>338.6</v>
      </c>
      <c r="K551" s="10">
        <f t="shared" si="398"/>
        <v>410</v>
      </c>
      <c r="L551" s="10">
        <f t="shared" si="398"/>
        <v>0</v>
      </c>
      <c r="M551" s="10">
        <f t="shared" si="398"/>
        <v>5271</v>
      </c>
      <c r="N551" s="10">
        <f t="shared" si="398"/>
        <v>5275</v>
      </c>
      <c r="O551" s="10">
        <f t="shared" si="398"/>
        <v>0</v>
      </c>
      <c r="P551" s="10">
        <f t="shared" si="398"/>
        <v>0</v>
      </c>
      <c r="Q551" s="10">
        <f t="shared" si="398"/>
        <v>5776</v>
      </c>
      <c r="R551" s="10">
        <f t="shared" si="398"/>
        <v>5776</v>
      </c>
    </row>
    <row r="552" spans="1:18" x14ac:dyDescent="0.2">
      <c r="A552" s="8"/>
      <c r="B552" s="8"/>
      <c r="C552" s="8" t="s">
        <v>29</v>
      </c>
      <c r="D552" s="8"/>
      <c r="E552" s="69"/>
      <c r="F552" s="10">
        <f t="shared" ref="F552:R552" si="399">MAX(F541:F548)</f>
        <v>154072</v>
      </c>
      <c r="G552" s="10">
        <f t="shared" si="399"/>
        <v>55382</v>
      </c>
      <c r="H552" s="10">
        <f t="shared" si="399"/>
        <v>2.8798504672897196</v>
      </c>
      <c r="I552" s="10">
        <f t="shared" si="399"/>
        <v>455</v>
      </c>
      <c r="J552" s="10">
        <f t="shared" si="399"/>
        <v>6864.4</v>
      </c>
      <c r="K552" s="10">
        <f t="shared" si="399"/>
        <v>649</v>
      </c>
      <c r="L552" s="10">
        <f t="shared" si="399"/>
        <v>0</v>
      </c>
      <c r="M552" s="10">
        <f t="shared" si="399"/>
        <v>53500</v>
      </c>
      <c r="N552" s="10">
        <f t="shared" si="399"/>
        <v>55387</v>
      </c>
      <c r="O552" s="10">
        <f t="shared" si="399"/>
        <v>53500</v>
      </c>
      <c r="P552" s="10">
        <f t="shared" si="399"/>
        <v>0</v>
      </c>
      <c r="Q552" s="10">
        <f t="shared" si="399"/>
        <v>55382</v>
      </c>
      <c r="R552" s="10">
        <f t="shared" si="399"/>
        <v>55382</v>
      </c>
    </row>
    <row r="553" spans="1:18" x14ac:dyDescent="0.2">
      <c r="A553" s="8"/>
      <c r="B553" s="8"/>
      <c r="C553" s="8" t="s">
        <v>30</v>
      </c>
      <c r="D553" s="8"/>
      <c r="E553" s="69"/>
      <c r="F553" s="10">
        <f t="shared" ref="F553:R553" si="400">AVERAGE(F541:F548)</f>
        <v>81414.375</v>
      </c>
      <c r="G553" s="10">
        <f t="shared" si="400"/>
        <v>33360.25</v>
      </c>
      <c r="H553" s="10">
        <f t="shared" si="400"/>
        <v>2.3816011261215433</v>
      </c>
      <c r="I553" s="10">
        <f t="shared" si="400"/>
        <v>79.837500000000006</v>
      </c>
      <c r="J553" s="10">
        <f t="shared" si="400"/>
        <v>3162.0374999999995</v>
      </c>
      <c r="K553" s="10">
        <f t="shared" si="400"/>
        <v>510.9375</v>
      </c>
      <c r="L553" s="10">
        <f t="shared" si="400"/>
        <v>0</v>
      </c>
      <c r="M553" s="10">
        <f t="shared" si="400"/>
        <v>26958</v>
      </c>
      <c r="N553" s="10">
        <f t="shared" si="400"/>
        <v>27140.125</v>
      </c>
      <c r="O553" s="10">
        <f t="shared" si="400"/>
        <v>20015.25</v>
      </c>
      <c r="P553" s="10">
        <f t="shared" si="400"/>
        <v>0</v>
      </c>
      <c r="Q553" s="10">
        <f t="shared" si="400"/>
        <v>33360.25</v>
      </c>
      <c r="R553" s="10">
        <f t="shared" si="400"/>
        <v>33360.25</v>
      </c>
    </row>
    <row r="554" spans="1:18" ht="13.5" thickBot="1" x14ac:dyDescent="0.25">
      <c r="A554" s="16"/>
      <c r="B554" s="16"/>
      <c r="C554" s="16" t="s">
        <v>31</v>
      </c>
      <c r="D554" s="16"/>
      <c r="E554" s="69"/>
      <c r="F554" s="18">
        <f t="shared" ref="F554:R554" si="401">MEDIAN(F541:F548)</f>
        <v>74944</v>
      </c>
      <c r="G554" s="18">
        <f t="shared" si="401"/>
        <v>35827</v>
      </c>
      <c r="H554" s="18">
        <f t="shared" si="401"/>
        <v>2.440299449774725</v>
      </c>
      <c r="I554" s="18">
        <f t="shared" si="401"/>
        <v>16.45</v>
      </c>
      <c r="J554" s="18">
        <f t="shared" si="401"/>
        <v>3356.8999999999996</v>
      </c>
      <c r="K554" s="18">
        <f t="shared" si="401"/>
        <v>492.5</v>
      </c>
      <c r="L554" s="18">
        <f t="shared" si="401"/>
        <v>0</v>
      </c>
      <c r="M554" s="18">
        <f t="shared" si="401"/>
        <v>18533</v>
      </c>
      <c r="N554" s="18">
        <f t="shared" si="401"/>
        <v>18761.5</v>
      </c>
      <c r="O554" s="18">
        <f t="shared" si="401"/>
        <v>15051</v>
      </c>
      <c r="P554" s="18">
        <f t="shared" si="401"/>
        <v>0</v>
      </c>
      <c r="Q554" s="18">
        <f t="shared" si="401"/>
        <v>35827</v>
      </c>
      <c r="R554" s="18">
        <f t="shared" si="401"/>
        <v>35827</v>
      </c>
    </row>
    <row r="555" spans="1:18" ht="13.5" thickTop="1" x14ac:dyDescent="0.2">
      <c r="B555"/>
      <c r="C555" s="5"/>
      <c r="D555" s="5"/>
    </row>
    <row r="556" spans="1:18" ht="13.5" thickBot="1" x14ac:dyDescent="0.25">
      <c r="A556" s="25"/>
      <c r="B556" s="25"/>
      <c r="C556" s="27" t="s">
        <v>18</v>
      </c>
      <c r="D556" s="27"/>
    </row>
    <row r="557" spans="1:18" ht="13.5" thickTop="1" x14ac:dyDescent="0.2">
      <c r="A557" s="8">
        <v>10750</v>
      </c>
      <c r="B557" s="77" t="str">
        <f t="shared" ref="B557:B565" si="402">VLOOKUP($A557,$A$5:$K$132,2,FALSE)</f>
        <v>Blacktown</v>
      </c>
      <c r="C557" s="9" t="str">
        <f t="shared" ref="C557:C565" si="403">VLOOKUP($A557,$A$5:$K$133,3,FALSE)</f>
        <v>WSROC</v>
      </c>
      <c r="D557" s="45" t="str">
        <f t="shared" ref="D557:D565" si="404">VLOOKUP($A557,$A$5:$K$133,4,FALSE)</f>
        <v>S</v>
      </c>
      <c r="E557" s="10">
        <f t="shared" ref="E557:E565" si="405">VLOOKUP($A557,$A$5:$R$132,5,FALSE)</f>
        <v>0</v>
      </c>
      <c r="F557" s="10">
        <f t="shared" ref="F557:F565" si="406">VLOOKUP($A557,$A$5:$R$132,6,FALSE)</f>
        <v>426202</v>
      </c>
      <c r="G557" s="10">
        <f t="shared" ref="G557:G565" si="407">VLOOKUP($A557,$A$5:$R$132,7,FALSE)</f>
        <v>155045</v>
      </c>
      <c r="H557" s="10">
        <f t="shared" ref="H557:H565" si="408">VLOOKUP($A557,$A$5:$R$132,8,FALSE)</f>
        <v>2.7488922570866521</v>
      </c>
      <c r="I557" s="10">
        <f t="shared" ref="I557:I565" si="409">VLOOKUP($A557,$A$5:$R$132,9,FALSE)</f>
        <v>238.8</v>
      </c>
      <c r="J557" s="10">
        <f t="shared" ref="J557:J565" si="410">VLOOKUP($A557,$A$5:$R$132,10,FALSE)</f>
        <v>1784.4</v>
      </c>
      <c r="K557" s="10">
        <f t="shared" ref="K557:K565" si="411">VLOOKUP($A557,$A$5:$R$132,11,FALSE)</f>
        <v>602</v>
      </c>
      <c r="L557" s="10">
        <f t="shared" ref="L557:L565" si="412">VLOOKUP($A557,$A$4:$R$132,12,FALSE)</f>
        <v>0</v>
      </c>
      <c r="M557" s="10">
        <f t="shared" ref="M557:M565" si="413">VLOOKUP($A557,$A$4:$R$132,13,FALSE)</f>
        <v>122725</v>
      </c>
      <c r="N557" s="10">
        <f t="shared" ref="N557:N565" si="414">VLOOKUP($A557,$A$4:$R$132,14,FALSE)</f>
        <v>122725</v>
      </c>
      <c r="O557" s="10">
        <f t="shared" ref="O557:O565" si="415">VLOOKUP($A557,$A$4:$R$132,15,FALSE)</f>
        <v>0</v>
      </c>
      <c r="P557" s="10">
        <f t="shared" ref="P557:P565" si="416">VLOOKUP($A557,$A$4:$R$132,16,FALSE)</f>
        <v>0</v>
      </c>
      <c r="Q557" s="10">
        <f t="shared" ref="Q557:Q565" si="417">VLOOKUP($A557,$A$4:$R$132,17,FALSE)</f>
        <v>155045</v>
      </c>
      <c r="R557" s="10">
        <f t="shared" ref="R557:R565" si="418">VLOOKUP($A557,$A$4:$R$132,18,FALSE)</f>
        <v>155045</v>
      </c>
    </row>
    <row r="558" spans="1:18" x14ac:dyDescent="0.2">
      <c r="A558" s="8">
        <v>10900</v>
      </c>
      <c r="B558" s="77" t="str">
        <f t="shared" si="402"/>
        <v>Blue Mountains</v>
      </c>
      <c r="C558" s="9" t="str">
        <f t="shared" si="403"/>
        <v>WSROC</v>
      </c>
      <c r="D558" s="45" t="str">
        <f t="shared" si="404"/>
        <v>R</v>
      </c>
      <c r="E558" s="10">
        <f t="shared" si="405"/>
        <v>0</v>
      </c>
      <c r="F558" s="10">
        <f t="shared" si="406"/>
        <v>78446</v>
      </c>
      <c r="G558" s="10">
        <f t="shared" si="407"/>
        <v>36451</v>
      </c>
      <c r="H558" s="10">
        <f t="shared" si="408"/>
        <v>2.1520945927409398</v>
      </c>
      <c r="I558" s="10">
        <f t="shared" si="409"/>
        <v>1431.1</v>
      </c>
      <c r="J558" s="10">
        <f t="shared" si="410"/>
        <v>54.8</v>
      </c>
      <c r="K558" s="10">
        <f t="shared" si="411"/>
        <v>496</v>
      </c>
      <c r="L558" s="10">
        <f t="shared" si="412"/>
        <v>0</v>
      </c>
      <c r="M558" s="10">
        <f t="shared" si="413"/>
        <v>33929</v>
      </c>
      <c r="N558" s="10">
        <f t="shared" si="414"/>
        <v>33725</v>
      </c>
      <c r="O558" s="10">
        <f t="shared" si="415"/>
        <v>101145</v>
      </c>
      <c r="P558" s="10">
        <f t="shared" si="416"/>
        <v>0</v>
      </c>
      <c r="Q558" s="10">
        <f t="shared" si="417"/>
        <v>36451</v>
      </c>
      <c r="R558" s="10">
        <f t="shared" si="418"/>
        <v>36451</v>
      </c>
    </row>
    <row r="559" spans="1:18" x14ac:dyDescent="0.2">
      <c r="A559" s="8">
        <v>12380</v>
      </c>
      <c r="B559" s="77" t="str">
        <f t="shared" si="402"/>
        <v>Cumberland</v>
      </c>
      <c r="C559" s="9" t="str">
        <f t="shared" si="403"/>
        <v>WSROC</v>
      </c>
      <c r="D559" s="45" t="str">
        <f t="shared" si="404"/>
        <v>S</v>
      </c>
      <c r="E559" s="10">
        <f t="shared" si="405"/>
        <v>0</v>
      </c>
      <c r="F559" s="10">
        <f t="shared" si="406"/>
        <v>245323</v>
      </c>
      <c r="G559" s="10">
        <f t="shared" si="407"/>
        <v>73565</v>
      </c>
      <c r="H559" s="10">
        <f t="shared" si="408"/>
        <v>3.334778767076735</v>
      </c>
      <c r="I559" s="10">
        <f t="shared" si="409"/>
        <v>72.7</v>
      </c>
      <c r="J559" s="10">
        <f t="shared" si="410"/>
        <v>3372.2</v>
      </c>
      <c r="K559" s="10">
        <f t="shared" si="411"/>
        <v>610</v>
      </c>
      <c r="L559" s="10">
        <f t="shared" si="412"/>
        <v>0</v>
      </c>
      <c r="M559" s="10">
        <f t="shared" si="413"/>
        <v>87607</v>
      </c>
      <c r="N559" s="10">
        <f t="shared" si="414"/>
        <v>32069</v>
      </c>
      <c r="O559" s="10">
        <f t="shared" si="415"/>
        <v>32147</v>
      </c>
      <c r="P559" s="10">
        <f t="shared" si="416"/>
        <v>0</v>
      </c>
      <c r="Q559" s="10">
        <f t="shared" si="417"/>
        <v>73565</v>
      </c>
      <c r="R559" s="10">
        <f t="shared" si="418"/>
        <v>73565</v>
      </c>
    </row>
    <row r="560" spans="1:18" x14ac:dyDescent="0.2">
      <c r="A560" s="8">
        <v>12850</v>
      </c>
      <c r="B560" s="77" t="str">
        <f t="shared" si="402"/>
        <v>Fairfield</v>
      </c>
      <c r="C560" s="9" t="str">
        <f t="shared" si="403"/>
        <v>WSROC</v>
      </c>
      <c r="D560" s="45" t="str">
        <f t="shared" si="404"/>
        <v>S</v>
      </c>
      <c r="E560" s="10">
        <f t="shared" si="405"/>
        <v>0</v>
      </c>
      <c r="F560" s="10">
        <f t="shared" si="406"/>
        <v>209742</v>
      </c>
      <c r="G560" s="10">
        <f t="shared" si="407"/>
        <v>68590</v>
      </c>
      <c r="H560" s="10">
        <f t="shared" si="408"/>
        <v>3.0579093162268554</v>
      </c>
      <c r="I560" s="10">
        <f t="shared" si="409"/>
        <v>101.5</v>
      </c>
      <c r="J560" s="10">
        <f t="shared" si="410"/>
        <v>2066.3000000000002</v>
      </c>
      <c r="K560" s="10">
        <f t="shared" si="411"/>
        <v>516.63</v>
      </c>
      <c r="L560" s="10">
        <f t="shared" si="412"/>
        <v>0</v>
      </c>
      <c r="M560" s="10">
        <f t="shared" si="413"/>
        <v>60395</v>
      </c>
      <c r="N560" s="10">
        <f t="shared" si="414"/>
        <v>60395</v>
      </c>
      <c r="O560" s="10">
        <f t="shared" si="415"/>
        <v>0</v>
      </c>
      <c r="P560" s="10">
        <f t="shared" si="416"/>
        <v>0</v>
      </c>
      <c r="Q560" s="10">
        <f t="shared" si="417"/>
        <v>68590</v>
      </c>
      <c r="R560" s="10">
        <f t="shared" si="418"/>
        <v>68590</v>
      </c>
    </row>
    <row r="561" spans="1:18" x14ac:dyDescent="0.2">
      <c r="A561" s="8">
        <v>13800</v>
      </c>
      <c r="B561" s="77" t="str">
        <f t="shared" si="402"/>
        <v>Hawkesbury</v>
      </c>
      <c r="C561" s="9" t="str">
        <f t="shared" si="403"/>
        <v>WSROC</v>
      </c>
      <c r="D561" s="45" t="str">
        <f t="shared" si="404"/>
        <v>S</v>
      </c>
      <c r="E561" s="10">
        <f t="shared" si="405"/>
        <v>0</v>
      </c>
      <c r="F561" s="10">
        <f t="shared" si="406"/>
        <v>68156</v>
      </c>
      <c r="G561" s="10">
        <f t="shared" si="407"/>
        <v>26898</v>
      </c>
      <c r="H561" s="10">
        <f t="shared" si="408"/>
        <v>2.5338686891218676</v>
      </c>
      <c r="I561" s="10">
        <f t="shared" si="409"/>
        <v>2775.1</v>
      </c>
      <c r="J561" s="10">
        <f t="shared" si="410"/>
        <v>24.6</v>
      </c>
      <c r="K561" s="10">
        <f t="shared" si="411"/>
        <v>787.1</v>
      </c>
      <c r="L561" s="10">
        <f t="shared" si="412"/>
        <v>0</v>
      </c>
      <c r="M561" s="10">
        <f t="shared" si="413"/>
        <v>25059</v>
      </c>
      <c r="N561" s="10">
        <f t="shared" si="414"/>
        <v>25059</v>
      </c>
      <c r="O561" s="10">
        <f t="shared" si="415"/>
        <v>14638</v>
      </c>
      <c r="P561" s="10">
        <f t="shared" si="416"/>
        <v>0</v>
      </c>
      <c r="Q561" s="10">
        <f t="shared" si="417"/>
        <v>26898</v>
      </c>
      <c r="R561" s="10">
        <f t="shared" si="418"/>
        <v>26898</v>
      </c>
    </row>
    <row r="562" spans="1:18" x14ac:dyDescent="0.2">
      <c r="A562" s="8">
        <v>14900</v>
      </c>
      <c r="B562" s="77" t="str">
        <f t="shared" si="402"/>
        <v>Liverpool</v>
      </c>
      <c r="C562" s="9" t="str">
        <f t="shared" si="403"/>
        <v>WSROC</v>
      </c>
      <c r="D562" s="45" t="str">
        <f t="shared" si="404"/>
        <v>S</v>
      </c>
      <c r="E562" s="10">
        <f t="shared" si="405"/>
        <v>0</v>
      </c>
      <c r="F562" s="10">
        <f t="shared" si="406"/>
        <v>247672</v>
      </c>
      <c r="G562" s="10">
        <f t="shared" si="407"/>
        <v>77898</v>
      </c>
      <c r="H562" s="10">
        <f t="shared" si="408"/>
        <v>3.1794397802254228</v>
      </c>
      <c r="I562" s="10">
        <f t="shared" si="409"/>
        <v>305.7</v>
      </c>
      <c r="J562" s="10">
        <f t="shared" si="410"/>
        <v>810.1</v>
      </c>
      <c r="K562" s="10">
        <f t="shared" si="411"/>
        <v>570</v>
      </c>
      <c r="L562" s="10">
        <f t="shared" si="412"/>
        <v>0</v>
      </c>
      <c r="M562" s="10">
        <f t="shared" si="413"/>
        <v>77522</v>
      </c>
      <c r="N562" s="10">
        <f t="shared" si="414"/>
        <v>77522</v>
      </c>
      <c r="O562" s="10">
        <f t="shared" si="415"/>
        <v>56858</v>
      </c>
      <c r="P562" s="10">
        <f t="shared" si="416"/>
        <v>0</v>
      </c>
      <c r="Q562" s="10">
        <f t="shared" si="417"/>
        <v>77898</v>
      </c>
      <c r="R562" s="10">
        <f t="shared" si="418"/>
        <v>77898</v>
      </c>
    </row>
    <row r="563" spans="1:18" x14ac:dyDescent="0.2">
      <c r="A563" s="8">
        <v>16260</v>
      </c>
      <c r="B563" s="77" t="str">
        <f t="shared" si="402"/>
        <v>Parramatta</v>
      </c>
      <c r="C563" s="9" t="str">
        <f t="shared" si="403"/>
        <v>WSROC</v>
      </c>
      <c r="D563" s="45" t="str">
        <f t="shared" si="404"/>
        <v>S</v>
      </c>
      <c r="E563" s="10">
        <f t="shared" si="405"/>
        <v>0</v>
      </c>
      <c r="F563" s="10">
        <f t="shared" si="406"/>
        <v>269145</v>
      </c>
      <c r="G563" s="10">
        <f t="shared" si="407"/>
        <v>107699</v>
      </c>
      <c r="H563" s="10">
        <f t="shared" si="408"/>
        <v>2.4990482734287225</v>
      </c>
      <c r="I563" s="10">
        <f t="shared" si="409"/>
        <v>83.8</v>
      </c>
      <c r="J563" s="10">
        <f t="shared" si="410"/>
        <v>3210.6</v>
      </c>
      <c r="K563" s="10">
        <f t="shared" si="411"/>
        <v>476.7</v>
      </c>
      <c r="L563" s="10">
        <f t="shared" si="412"/>
        <v>0</v>
      </c>
      <c r="M563" s="10">
        <f t="shared" si="413"/>
        <v>92400</v>
      </c>
      <c r="N563" s="10">
        <f t="shared" si="414"/>
        <v>47714</v>
      </c>
      <c r="O563" s="10">
        <f t="shared" si="415"/>
        <v>48719</v>
      </c>
      <c r="P563" s="10">
        <f t="shared" si="416"/>
        <v>0</v>
      </c>
      <c r="Q563" s="10">
        <f t="shared" si="417"/>
        <v>107699</v>
      </c>
      <c r="R563" s="10">
        <f t="shared" si="418"/>
        <v>107699</v>
      </c>
    </row>
    <row r="564" spans="1:18" x14ac:dyDescent="0.2">
      <c r="A564" s="8">
        <v>16350</v>
      </c>
      <c r="B564" s="77" t="str">
        <f t="shared" si="402"/>
        <v>Penrith</v>
      </c>
      <c r="C564" s="9" t="str">
        <f t="shared" si="403"/>
        <v>MSWA</v>
      </c>
      <c r="D564" s="45" t="str">
        <f t="shared" si="404"/>
        <v>S</v>
      </c>
      <c r="E564" s="10">
        <f t="shared" si="405"/>
        <v>0</v>
      </c>
      <c r="F564" s="10">
        <f t="shared" si="406"/>
        <v>224483</v>
      </c>
      <c r="G564" s="10">
        <f t="shared" si="407"/>
        <v>82564</v>
      </c>
      <c r="H564" s="10">
        <f t="shared" si="408"/>
        <v>2.7188968557724915</v>
      </c>
      <c r="I564" s="10">
        <f t="shared" si="409"/>
        <v>404.7</v>
      </c>
      <c r="J564" s="10">
        <f t="shared" si="410"/>
        <v>554.70000000000005</v>
      </c>
      <c r="K564" s="10">
        <f t="shared" si="411"/>
        <v>415</v>
      </c>
      <c r="L564" s="10">
        <f t="shared" si="412"/>
        <v>0</v>
      </c>
      <c r="M564" s="10">
        <f t="shared" si="413"/>
        <v>81267</v>
      </c>
      <c r="N564" s="10">
        <f t="shared" si="414"/>
        <v>81267</v>
      </c>
      <c r="O564" s="10">
        <f t="shared" si="415"/>
        <v>0</v>
      </c>
      <c r="P564" s="10">
        <f t="shared" si="416"/>
        <v>69582</v>
      </c>
      <c r="Q564" s="10">
        <f t="shared" si="417"/>
        <v>82564</v>
      </c>
      <c r="R564" s="10">
        <f t="shared" si="418"/>
        <v>82564</v>
      </c>
    </row>
    <row r="565" spans="1:18" ht="13.5" thickBot="1" x14ac:dyDescent="0.25">
      <c r="A565" s="8">
        <v>17420</v>
      </c>
      <c r="B565" s="77" t="str">
        <f t="shared" si="402"/>
        <v>The Hills Shire</v>
      </c>
      <c r="C565" s="9" t="str">
        <f t="shared" si="403"/>
        <v>WSROC</v>
      </c>
      <c r="D565" s="45" t="str">
        <f t="shared" si="404"/>
        <v>S</v>
      </c>
      <c r="E565" s="10">
        <f t="shared" si="405"/>
        <v>0</v>
      </c>
      <c r="F565" s="10">
        <f t="shared" si="406"/>
        <v>207959</v>
      </c>
      <c r="G565" s="10">
        <f t="shared" si="407"/>
        <v>73354</v>
      </c>
      <c r="H565" s="10">
        <f t="shared" si="408"/>
        <v>2.8350055893339148</v>
      </c>
      <c r="I565" s="10">
        <f t="shared" si="409"/>
        <v>386.2</v>
      </c>
      <c r="J565" s="10">
        <f t="shared" si="410"/>
        <v>538.5</v>
      </c>
      <c r="K565" s="10">
        <f t="shared" si="411"/>
        <v>470</v>
      </c>
      <c r="L565" s="10">
        <f t="shared" si="412"/>
        <v>0</v>
      </c>
      <c r="M565" s="10">
        <f t="shared" si="413"/>
        <v>58651</v>
      </c>
      <c r="N565" s="10">
        <f t="shared" si="414"/>
        <v>59921</v>
      </c>
      <c r="O565" s="10">
        <f t="shared" si="415"/>
        <v>51175</v>
      </c>
      <c r="P565" s="10">
        <f t="shared" si="416"/>
        <v>0</v>
      </c>
      <c r="Q565" s="10">
        <f t="shared" si="417"/>
        <v>73354</v>
      </c>
      <c r="R565" s="10">
        <f t="shared" si="418"/>
        <v>73354</v>
      </c>
    </row>
    <row r="566" spans="1:18" ht="13.5" thickTop="1" x14ac:dyDescent="0.2">
      <c r="A566" s="11"/>
      <c r="B566" s="11"/>
      <c r="C566" s="11" t="s">
        <v>26</v>
      </c>
      <c r="D566" s="11"/>
      <c r="E566" s="12"/>
      <c r="F566" s="13">
        <f t="shared" ref="F566:R566" si="419">COUNTIF(F557:F565,"&gt;0")</f>
        <v>9</v>
      </c>
      <c r="G566" s="13">
        <f t="shared" si="419"/>
        <v>9</v>
      </c>
      <c r="H566" s="13">
        <f t="shared" si="419"/>
        <v>9</v>
      </c>
      <c r="I566" s="13">
        <f t="shared" si="419"/>
        <v>9</v>
      </c>
      <c r="J566" s="13">
        <f t="shared" si="419"/>
        <v>9</v>
      </c>
      <c r="K566" s="13">
        <f t="shared" si="419"/>
        <v>9</v>
      </c>
      <c r="L566" s="13">
        <f t="shared" si="419"/>
        <v>0</v>
      </c>
      <c r="M566" s="13">
        <f t="shared" si="419"/>
        <v>9</v>
      </c>
      <c r="N566" s="13">
        <f t="shared" si="419"/>
        <v>9</v>
      </c>
      <c r="O566" s="13">
        <f t="shared" si="419"/>
        <v>6</v>
      </c>
      <c r="P566" s="13">
        <f t="shared" si="419"/>
        <v>1</v>
      </c>
      <c r="Q566" s="13">
        <f t="shared" si="419"/>
        <v>9</v>
      </c>
      <c r="R566" s="13">
        <f t="shared" si="419"/>
        <v>9</v>
      </c>
    </row>
    <row r="567" spans="1:18" x14ac:dyDescent="0.2">
      <c r="A567" s="8"/>
      <c r="B567" s="8"/>
      <c r="C567" s="8" t="s">
        <v>27</v>
      </c>
      <c r="D567" s="8"/>
      <c r="E567" s="69"/>
      <c r="F567" s="15">
        <f>SUM(F557:F565)</f>
        <v>1977128</v>
      </c>
      <c r="G567" s="15">
        <f t="shared" ref="G567:R567" si="420">SUM(G557:G565)</f>
        <v>702064</v>
      </c>
      <c r="H567" s="93">
        <f>F567/G567</f>
        <v>2.8161649080425715</v>
      </c>
      <c r="I567" s="15">
        <f t="shared" si="420"/>
        <v>5799.5999999999995</v>
      </c>
      <c r="J567" s="15">
        <f t="shared" si="420"/>
        <v>12416.2</v>
      </c>
      <c r="K567" s="15">
        <f t="shared" si="420"/>
        <v>4943.43</v>
      </c>
      <c r="L567" s="15">
        <f t="shared" si="420"/>
        <v>0</v>
      </c>
      <c r="M567" s="15">
        <f t="shared" si="420"/>
        <v>639555</v>
      </c>
      <c r="N567" s="15">
        <f t="shared" si="420"/>
        <v>540397</v>
      </c>
      <c r="O567" s="15">
        <f t="shared" si="420"/>
        <v>304682</v>
      </c>
      <c r="P567" s="15">
        <f t="shared" si="420"/>
        <v>69582</v>
      </c>
      <c r="Q567" s="15">
        <f t="shared" si="420"/>
        <v>702064</v>
      </c>
      <c r="R567" s="15">
        <f t="shared" si="420"/>
        <v>702064</v>
      </c>
    </row>
    <row r="568" spans="1:18" x14ac:dyDescent="0.2">
      <c r="A568" s="8"/>
      <c r="B568" s="8"/>
      <c r="C568" s="8" t="s">
        <v>28</v>
      </c>
      <c r="D568" s="8"/>
      <c r="E568" s="69"/>
      <c r="F568" s="10">
        <f t="shared" ref="F568:R568" si="421">MIN(F557:F565)</f>
        <v>68156</v>
      </c>
      <c r="G568" s="10">
        <f t="shared" si="421"/>
        <v>26898</v>
      </c>
      <c r="H568" s="10">
        <f t="shared" si="421"/>
        <v>2.1520945927409398</v>
      </c>
      <c r="I568" s="10">
        <f t="shared" si="421"/>
        <v>72.7</v>
      </c>
      <c r="J568" s="10">
        <f t="shared" si="421"/>
        <v>24.6</v>
      </c>
      <c r="K568" s="10">
        <f t="shared" si="421"/>
        <v>415</v>
      </c>
      <c r="L568" s="10">
        <f t="shared" si="421"/>
        <v>0</v>
      </c>
      <c r="M568" s="10">
        <f t="shared" si="421"/>
        <v>25059</v>
      </c>
      <c r="N568" s="10">
        <f t="shared" si="421"/>
        <v>25059</v>
      </c>
      <c r="O568" s="10">
        <f t="shared" si="421"/>
        <v>0</v>
      </c>
      <c r="P568" s="10">
        <f t="shared" si="421"/>
        <v>0</v>
      </c>
      <c r="Q568" s="10">
        <f t="shared" si="421"/>
        <v>26898</v>
      </c>
      <c r="R568" s="10">
        <f t="shared" si="421"/>
        <v>26898</v>
      </c>
    </row>
    <row r="569" spans="1:18" x14ac:dyDescent="0.2">
      <c r="A569" s="8"/>
      <c r="B569" s="8"/>
      <c r="C569" s="8" t="s">
        <v>29</v>
      </c>
      <c r="D569" s="8"/>
      <c r="E569" s="69"/>
      <c r="F569" s="10">
        <f t="shared" ref="F569:R569" si="422">MAX(F557:F565)</f>
        <v>426202</v>
      </c>
      <c r="G569" s="10">
        <f t="shared" si="422"/>
        <v>155045</v>
      </c>
      <c r="H569" s="10">
        <f t="shared" si="422"/>
        <v>3.334778767076735</v>
      </c>
      <c r="I569" s="10">
        <f t="shared" si="422"/>
        <v>2775.1</v>
      </c>
      <c r="J569" s="10">
        <f t="shared" si="422"/>
        <v>3372.2</v>
      </c>
      <c r="K569" s="10">
        <f t="shared" si="422"/>
        <v>787.1</v>
      </c>
      <c r="L569" s="10">
        <f t="shared" si="422"/>
        <v>0</v>
      </c>
      <c r="M569" s="10">
        <f t="shared" si="422"/>
        <v>122725</v>
      </c>
      <c r="N569" s="10">
        <f t="shared" si="422"/>
        <v>122725</v>
      </c>
      <c r="O569" s="10">
        <f t="shared" si="422"/>
        <v>101145</v>
      </c>
      <c r="P569" s="10">
        <f t="shared" si="422"/>
        <v>69582</v>
      </c>
      <c r="Q569" s="10">
        <f t="shared" si="422"/>
        <v>155045</v>
      </c>
      <c r="R569" s="10">
        <f t="shared" si="422"/>
        <v>155045</v>
      </c>
    </row>
    <row r="570" spans="1:18" x14ac:dyDescent="0.2">
      <c r="A570" s="8"/>
      <c r="B570" s="8"/>
      <c r="C570" s="8" t="s">
        <v>30</v>
      </c>
      <c r="D570" s="8"/>
      <c r="E570" s="69"/>
      <c r="F570" s="10">
        <f t="shared" ref="F570:R570" si="423">AVERAGE(F557:F565)</f>
        <v>219680.88888888888</v>
      </c>
      <c r="G570" s="10">
        <f t="shared" si="423"/>
        <v>78007.111111111109</v>
      </c>
      <c r="H570" s="10">
        <f t="shared" si="423"/>
        <v>2.7844371245570669</v>
      </c>
      <c r="I570" s="10">
        <f t="shared" si="423"/>
        <v>644.4</v>
      </c>
      <c r="J570" s="10">
        <f t="shared" si="423"/>
        <v>1379.5777777777778</v>
      </c>
      <c r="K570" s="10">
        <f t="shared" si="423"/>
        <v>549.27</v>
      </c>
      <c r="L570" s="10">
        <f t="shared" si="423"/>
        <v>0</v>
      </c>
      <c r="M570" s="10">
        <f t="shared" si="423"/>
        <v>71061.666666666672</v>
      </c>
      <c r="N570" s="10">
        <f t="shared" si="423"/>
        <v>60044.111111111109</v>
      </c>
      <c r="O570" s="10">
        <f t="shared" si="423"/>
        <v>33853.555555555555</v>
      </c>
      <c r="P570" s="10">
        <f t="shared" si="423"/>
        <v>7731.333333333333</v>
      </c>
      <c r="Q570" s="10">
        <f t="shared" si="423"/>
        <v>78007.111111111109</v>
      </c>
      <c r="R570" s="10">
        <f t="shared" si="423"/>
        <v>78007.111111111109</v>
      </c>
    </row>
    <row r="571" spans="1:18" ht="13.5" thickBot="1" x14ac:dyDescent="0.25">
      <c r="A571" s="16"/>
      <c r="B571" s="16"/>
      <c r="C571" s="16" t="s">
        <v>31</v>
      </c>
      <c r="D571" s="16"/>
      <c r="E571" s="69"/>
      <c r="F571" s="18">
        <f t="shared" ref="F571:R571" si="424">MEDIAN(F557:F565)</f>
        <v>224483</v>
      </c>
      <c r="G571" s="18">
        <f t="shared" si="424"/>
        <v>73565</v>
      </c>
      <c r="H571" s="18">
        <f t="shared" si="424"/>
        <v>2.7488922570866521</v>
      </c>
      <c r="I571" s="18">
        <f t="shared" si="424"/>
        <v>305.7</v>
      </c>
      <c r="J571" s="18">
        <f t="shared" si="424"/>
        <v>810.1</v>
      </c>
      <c r="K571" s="18">
        <f t="shared" si="424"/>
        <v>516.63</v>
      </c>
      <c r="L571" s="18">
        <f t="shared" si="424"/>
        <v>0</v>
      </c>
      <c r="M571" s="18">
        <f t="shared" si="424"/>
        <v>77522</v>
      </c>
      <c r="N571" s="18">
        <f t="shared" si="424"/>
        <v>59921</v>
      </c>
      <c r="O571" s="18">
        <f t="shared" si="424"/>
        <v>32147</v>
      </c>
      <c r="P571" s="18">
        <f t="shared" si="424"/>
        <v>0</v>
      </c>
      <c r="Q571" s="18">
        <f t="shared" si="424"/>
        <v>73565</v>
      </c>
      <c r="R571" s="18">
        <f t="shared" si="424"/>
        <v>73565</v>
      </c>
    </row>
    <row r="572" spans="1:18" ht="13.5" thickTop="1" x14ac:dyDescent="0.2">
      <c r="B572"/>
      <c r="C572" s="5"/>
      <c r="D572" s="5"/>
    </row>
    <row r="573" spans="1:18" ht="13.5" thickBot="1" x14ac:dyDescent="0.25">
      <c r="A573" s="25"/>
      <c r="B573" s="25"/>
      <c r="C573" s="27" t="s">
        <v>33</v>
      </c>
      <c r="D573" s="27"/>
    </row>
    <row r="574" spans="1:18" ht="13.5" thickTop="1" x14ac:dyDescent="0.2"/>
    <row r="575" spans="1:18" x14ac:dyDescent="0.2">
      <c r="A575" s="8">
        <v>15990</v>
      </c>
      <c r="B575" s="77" t="str">
        <f>VLOOKUP($A575,$A$5:$K$132,2,FALSE)</f>
        <v>Northern Beaches</v>
      </c>
      <c r="C575" s="9">
        <f>VLOOKUP($A575,$A$5:$K$133,3,FALSE)</f>
        <v>0</v>
      </c>
      <c r="D575" s="45" t="str">
        <f>VLOOKUP($A575,$A$5:$K$133,4,FALSE)</f>
        <v>S</v>
      </c>
      <c r="E575" s="10">
        <f>VLOOKUP($A575,$A$5:$R$132,5,FALSE)</f>
        <v>0</v>
      </c>
      <c r="F575" s="10">
        <f>VLOOKUP($A575,$A$5:$R$132,6,FALSE)</f>
        <v>267921</v>
      </c>
      <c r="G575" s="10">
        <f>VLOOKUP($A575,$A$5:$R$132,7,FALSE)</f>
        <v>117734</v>
      </c>
      <c r="H575" s="10">
        <f>VLOOKUP($A575,$A$5:$R$132,8,FALSE)</f>
        <v>2.2756467970170045</v>
      </c>
      <c r="I575" s="10">
        <f>VLOOKUP($A575,$A$5:$R$132,9,FALSE)</f>
        <v>254.2</v>
      </c>
      <c r="J575" s="10">
        <f>VLOOKUP($A575,$A$5:$R$132,10,FALSE)</f>
        <v>1053.9000000000001</v>
      </c>
      <c r="K575" s="10">
        <f>VLOOKUP($A575,$A$5:$R$132,11,FALSE)</f>
        <v>555</v>
      </c>
      <c r="L575" s="10">
        <f>VLOOKUP($A575,$A$4:$R$132,12,FALSE)</f>
        <v>0</v>
      </c>
      <c r="M575" s="10">
        <f>VLOOKUP($A575,$A$4:$R$132,13,FALSE)</f>
        <v>115536</v>
      </c>
      <c r="N575" s="10">
        <f>VLOOKUP($A575,$A$4:$R$132,14,FALSE)</f>
        <v>115536</v>
      </c>
      <c r="O575" s="10">
        <f>VLOOKUP($A575,$A$4:$R$132,15,FALSE)</f>
        <v>97053</v>
      </c>
      <c r="P575" s="10">
        <f>VLOOKUP($A575,$A$4:$R$132,16,FALSE)</f>
        <v>0</v>
      </c>
      <c r="Q575" s="10">
        <f>VLOOKUP($A575,$A$4:$R$132,17,FALSE)</f>
        <v>117734</v>
      </c>
      <c r="R575" s="10">
        <f>VLOOKUP($A575,$A$4:$R$132,18,FALSE)</f>
        <v>117734</v>
      </c>
    </row>
    <row r="576" spans="1:18" ht="13.5" thickBot="1" x14ac:dyDescent="0.25">
      <c r="A576" s="8">
        <v>17100</v>
      </c>
      <c r="B576" s="77" t="str">
        <f>VLOOKUP($A576,$A$5:$K$132,2,FALSE)</f>
        <v>Strathfield</v>
      </c>
      <c r="C576" s="9">
        <f>VLOOKUP($A576,$A$5:$K$133,3,FALSE)</f>
        <v>0</v>
      </c>
      <c r="D576" s="45" t="str">
        <f>VLOOKUP($A576,$A$5:$K$133,4,FALSE)</f>
        <v>S</v>
      </c>
      <c r="E576" s="10">
        <f>VLOOKUP($A576,$A$5:$R$132,5,FALSE)</f>
        <v>0</v>
      </c>
      <c r="F576" s="10">
        <f>VLOOKUP($A576,$A$5:$R$132,6,FALSE)</f>
        <v>47824</v>
      </c>
      <c r="G576" s="10">
        <f>VLOOKUP($A576,$A$5:$R$132,7,FALSE)</f>
        <v>20027</v>
      </c>
      <c r="H576" s="10">
        <f>VLOOKUP($A576,$A$5:$R$132,8,FALSE)</f>
        <v>2.3879762320866829</v>
      </c>
      <c r="I576" s="10">
        <f>VLOOKUP($A576,$A$5:$R$132,9,FALSE)</f>
        <v>14</v>
      </c>
      <c r="J576" s="10">
        <f>VLOOKUP($A576,$A$5:$R$132,10,FALSE)</f>
        <v>3415.8</v>
      </c>
      <c r="K576" s="10">
        <f>VLOOKUP($A576,$A$5:$R$132,11,FALSE)</f>
        <v>760</v>
      </c>
      <c r="L576" s="10">
        <f>VLOOKUP($A576,$A$4:$R$132,12,FALSE)</f>
        <v>0</v>
      </c>
      <c r="M576" s="10">
        <f>VLOOKUP($A576,$A$4:$R$132,13,FALSE)</f>
        <v>22272</v>
      </c>
      <c r="N576" s="10">
        <f>VLOOKUP($A576,$A$4:$R$132,14,FALSE)</f>
        <v>21573</v>
      </c>
      <c r="O576" s="10">
        <f>VLOOKUP($A576,$A$4:$R$132,15,FALSE)</f>
        <v>5833</v>
      </c>
      <c r="P576" s="10">
        <f>VLOOKUP($A576,$A$4:$R$132,16,FALSE)</f>
        <v>0</v>
      </c>
      <c r="Q576" s="10">
        <f>VLOOKUP($A576,$A$4:$R$132,17,FALSE)</f>
        <v>20027</v>
      </c>
      <c r="R576" s="10">
        <f>VLOOKUP($A576,$A$4:$R$132,18,FALSE)</f>
        <v>20027</v>
      </c>
    </row>
    <row r="577" spans="1:18" ht="13.5" thickTop="1" x14ac:dyDescent="0.2">
      <c r="A577" s="11"/>
      <c r="B577" s="11"/>
      <c r="C577" s="11" t="s">
        <v>26</v>
      </c>
      <c r="D577" s="11"/>
      <c r="E577" s="12"/>
      <c r="F577" s="13">
        <f>COUNTIF(F575:F576,"&gt;0")</f>
        <v>2</v>
      </c>
      <c r="G577" s="13">
        <f t="shared" ref="G577:R577" si="425">COUNTIF(G575:G576,"&gt;0")</f>
        <v>2</v>
      </c>
      <c r="H577" s="13">
        <f t="shared" si="425"/>
        <v>2</v>
      </c>
      <c r="I577" s="13">
        <f t="shared" si="425"/>
        <v>2</v>
      </c>
      <c r="J577" s="13">
        <f t="shared" si="425"/>
        <v>2</v>
      </c>
      <c r="K577" s="13">
        <f t="shared" si="425"/>
        <v>2</v>
      </c>
      <c r="L577" s="13">
        <f t="shared" si="425"/>
        <v>0</v>
      </c>
      <c r="M577" s="13">
        <f t="shared" si="425"/>
        <v>2</v>
      </c>
      <c r="N577" s="13">
        <f t="shared" si="425"/>
        <v>2</v>
      </c>
      <c r="O577" s="13">
        <f t="shared" si="425"/>
        <v>2</v>
      </c>
      <c r="P577" s="13">
        <f t="shared" si="425"/>
        <v>0</v>
      </c>
      <c r="Q577" s="13">
        <f t="shared" si="425"/>
        <v>2</v>
      </c>
      <c r="R577" s="13">
        <f t="shared" si="425"/>
        <v>2</v>
      </c>
    </row>
    <row r="578" spans="1:18" x14ac:dyDescent="0.2">
      <c r="A578" s="8"/>
      <c r="B578" s="8"/>
      <c r="C578" s="8" t="s">
        <v>27</v>
      </c>
      <c r="D578" s="8"/>
      <c r="E578" s="69"/>
      <c r="F578" s="15">
        <f>SUM(F575:F576)</f>
        <v>315745</v>
      </c>
      <c r="G578" s="15">
        <f t="shared" ref="G578:R578" si="426">SUM(G575:G576)</f>
        <v>137761</v>
      </c>
      <c r="H578" s="93">
        <f>F578/G578</f>
        <v>2.2919766842575187</v>
      </c>
      <c r="I578" s="15">
        <f t="shared" si="426"/>
        <v>268.2</v>
      </c>
      <c r="J578" s="15">
        <f t="shared" si="426"/>
        <v>4469.7000000000007</v>
      </c>
      <c r="K578" s="15">
        <f t="shared" si="426"/>
        <v>1315</v>
      </c>
      <c r="L578" s="15">
        <f t="shared" si="426"/>
        <v>0</v>
      </c>
      <c r="M578" s="15">
        <f t="shared" si="426"/>
        <v>137808</v>
      </c>
      <c r="N578" s="15">
        <f t="shared" si="426"/>
        <v>137109</v>
      </c>
      <c r="O578" s="15">
        <f t="shared" si="426"/>
        <v>102886</v>
      </c>
      <c r="P578" s="15">
        <f t="shared" si="426"/>
        <v>0</v>
      </c>
      <c r="Q578" s="15">
        <f t="shared" si="426"/>
        <v>137761</v>
      </c>
      <c r="R578" s="15">
        <f t="shared" si="426"/>
        <v>137761</v>
      </c>
    </row>
    <row r="579" spans="1:18" x14ac:dyDescent="0.2">
      <c r="A579" s="8"/>
      <c r="B579" s="8"/>
      <c r="C579" s="8" t="s">
        <v>28</v>
      </c>
      <c r="D579" s="8"/>
      <c r="E579" s="69"/>
      <c r="F579" s="10">
        <f>MIN(F575:F576)</f>
        <v>47824</v>
      </c>
      <c r="G579" s="10">
        <f t="shared" ref="G579:R579" si="427">MIN(G575:G576)</f>
        <v>20027</v>
      </c>
      <c r="H579" s="10">
        <f t="shared" si="427"/>
        <v>2.2756467970170045</v>
      </c>
      <c r="I579" s="10">
        <f t="shared" si="427"/>
        <v>14</v>
      </c>
      <c r="J579" s="10">
        <f t="shared" si="427"/>
        <v>1053.9000000000001</v>
      </c>
      <c r="K579" s="10">
        <f t="shared" si="427"/>
        <v>555</v>
      </c>
      <c r="L579" s="10">
        <f t="shared" si="427"/>
        <v>0</v>
      </c>
      <c r="M579" s="10">
        <f t="shared" si="427"/>
        <v>22272</v>
      </c>
      <c r="N579" s="10">
        <f t="shared" si="427"/>
        <v>21573</v>
      </c>
      <c r="O579" s="10">
        <f t="shared" si="427"/>
        <v>5833</v>
      </c>
      <c r="P579" s="10">
        <f t="shared" si="427"/>
        <v>0</v>
      </c>
      <c r="Q579" s="10">
        <f t="shared" si="427"/>
        <v>20027</v>
      </c>
      <c r="R579" s="10">
        <f t="shared" si="427"/>
        <v>20027</v>
      </c>
    </row>
    <row r="580" spans="1:18" x14ac:dyDescent="0.2">
      <c r="A580" s="8"/>
      <c r="B580" s="8"/>
      <c r="C580" s="8" t="s">
        <v>29</v>
      </c>
      <c r="D580" s="8"/>
      <c r="E580" s="69"/>
      <c r="F580" s="10">
        <f>MAX(F575:F576)</f>
        <v>267921</v>
      </c>
      <c r="G580" s="10">
        <f t="shared" ref="G580:R580" si="428">MAX(G575:G576)</f>
        <v>117734</v>
      </c>
      <c r="H580" s="10">
        <f t="shared" si="428"/>
        <v>2.3879762320866829</v>
      </c>
      <c r="I580" s="10">
        <f t="shared" si="428"/>
        <v>254.2</v>
      </c>
      <c r="J580" s="10">
        <f t="shared" si="428"/>
        <v>3415.8</v>
      </c>
      <c r="K580" s="10">
        <f t="shared" si="428"/>
        <v>760</v>
      </c>
      <c r="L580" s="10">
        <f t="shared" si="428"/>
        <v>0</v>
      </c>
      <c r="M580" s="10">
        <f t="shared" si="428"/>
        <v>115536</v>
      </c>
      <c r="N580" s="10">
        <f t="shared" si="428"/>
        <v>115536</v>
      </c>
      <c r="O580" s="10">
        <f t="shared" si="428"/>
        <v>97053</v>
      </c>
      <c r="P580" s="10">
        <f t="shared" si="428"/>
        <v>0</v>
      </c>
      <c r="Q580" s="10">
        <f t="shared" si="428"/>
        <v>117734</v>
      </c>
      <c r="R580" s="10">
        <f t="shared" si="428"/>
        <v>117734</v>
      </c>
    </row>
    <row r="581" spans="1:18" x14ac:dyDescent="0.2">
      <c r="A581" s="8"/>
      <c r="B581" s="8"/>
      <c r="C581" s="8" t="s">
        <v>30</v>
      </c>
      <c r="D581" s="8"/>
      <c r="E581" s="69"/>
      <c r="F581" s="10">
        <f>AVERAGE(F575:F576)</f>
        <v>157872.5</v>
      </c>
      <c r="G581" s="10">
        <f t="shared" ref="G581:R581" si="429">AVERAGE(G575:G576)</f>
        <v>68880.5</v>
      </c>
      <c r="H581" s="10">
        <f t="shared" si="429"/>
        <v>2.3318115145518439</v>
      </c>
      <c r="I581" s="10">
        <f t="shared" si="429"/>
        <v>134.1</v>
      </c>
      <c r="J581" s="10">
        <f t="shared" si="429"/>
        <v>2234.8500000000004</v>
      </c>
      <c r="K581" s="10">
        <f t="shared" si="429"/>
        <v>657.5</v>
      </c>
      <c r="L581" s="10">
        <f t="shared" si="429"/>
        <v>0</v>
      </c>
      <c r="M581" s="10">
        <f t="shared" si="429"/>
        <v>68904</v>
      </c>
      <c r="N581" s="10">
        <f t="shared" si="429"/>
        <v>68554.5</v>
      </c>
      <c r="O581" s="10">
        <f t="shared" si="429"/>
        <v>51443</v>
      </c>
      <c r="P581" s="10">
        <f t="shared" si="429"/>
        <v>0</v>
      </c>
      <c r="Q581" s="10">
        <f t="shared" si="429"/>
        <v>68880.5</v>
      </c>
      <c r="R581" s="10">
        <f t="shared" si="429"/>
        <v>68880.5</v>
      </c>
    </row>
    <row r="582" spans="1:18" ht="13.5" thickBot="1" x14ac:dyDescent="0.25">
      <c r="A582" s="16"/>
      <c r="B582" s="16"/>
      <c r="C582" s="16" t="s">
        <v>31</v>
      </c>
      <c r="D582" s="16"/>
      <c r="E582" s="69"/>
      <c r="F582" s="18">
        <f>MEDIAN(F575:F576)</f>
        <v>157872.5</v>
      </c>
      <c r="G582" s="18">
        <f t="shared" ref="G582:R582" si="430">MEDIAN(G575:G576)</f>
        <v>68880.5</v>
      </c>
      <c r="H582" s="18">
        <f t="shared" si="430"/>
        <v>2.3318115145518439</v>
      </c>
      <c r="I582" s="18">
        <f t="shared" si="430"/>
        <v>134.1</v>
      </c>
      <c r="J582" s="18">
        <f t="shared" si="430"/>
        <v>2234.8500000000004</v>
      </c>
      <c r="K582" s="18">
        <f t="shared" si="430"/>
        <v>657.5</v>
      </c>
      <c r="L582" s="18">
        <f t="shared" si="430"/>
        <v>0</v>
      </c>
      <c r="M582" s="18">
        <f t="shared" si="430"/>
        <v>68904</v>
      </c>
      <c r="N582" s="18">
        <f t="shared" si="430"/>
        <v>68554.5</v>
      </c>
      <c r="O582" s="18">
        <f t="shared" si="430"/>
        <v>51443</v>
      </c>
      <c r="P582" s="18">
        <f t="shared" si="430"/>
        <v>0</v>
      </c>
      <c r="Q582" s="18">
        <f t="shared" si="430"/>
        <v>68880.5</v>
      </c>
      <c r="R582" s="18">
        <f t="shared" si="430"/>
        <v>68880.5</v>
      </c>
    </row>
    <row r="583" spans="1:18" ht="13.5" thickTop="1" x14ac:dyDescent="0.2"/>
  </sheetData>
  <sortState xmlns:xlrd2="http://schemas.microsoft.com/office/spreadsheetml/2017/richdata2" ref="A5:R132">
    <sortCondition ref="A5:A132"/>
  </sortState>
  <mergeCells count="1">
    <mergeCell ref="M2:R2"/>
  </mergeCells>
  <hyperlinks>
    <hyperlink ref="B139" location="NSW!A8" display="Top" xr:uid="{34E53FEF-28D3-4198-B786-FBD1B542082F}"/>
    <hyperlink ref="B298" location="'2008-09'!A7" display="Top" xr:uid="{7F7F0EDA-5A24-464E-8173-22EE2B325940}"/>
    <hyperlink ref="D63" location="'2009-10'!A160" display="Bottom" xr:uid="{9BC25FA0-04E9-43BF-A5C5-DCF4CCFF07CD}"/>
    <hyperlink ref="B390" location="'2008-09'!A7" display="Top" xr:uid="{F68114C6-5517-47B6-B93A-3CAA6E26D632}"/>
    <hyperlink ref="B192" location="'2008-09'!A7" display="Top" xr:uid="{9FA0A500-AF42-4CF3-9D1F-8891AB86B580}"/>
    <hyperlink ref="B221" location="'2008-09'!A7" display="Top" xr:uid="{3CB8ACA6-2EC3-455A-B9A1-842A1BE93336}"/>
  </hyperlinks>
  <printOptions horizontalCentered="1"/>
  <pageMargins left="0.23622047244094488" right="0.23622047244094488" top="0.74803149606299213" bottom="0.74803149606299213" header="0.31496062992125984" footer="0.31496062992125984"/>
  <pageSetup paperSize="9" scale="49" fitToHeight="0" orientation="portrait" r:id="rId1"/>
  <headerFooter alignWithMargins="0"/>
  <ignoredErrors>
    <ignoredError sqref="H314:H315 H310 H316" formula="1"/>
    <ignoredError sqref="D310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EBD7-A394-4C7B-A47B-4554D1B2B52C}">
  <dimension ref="A1:U75"/>
  <sheetViews>
    <sheetView zoomScaleNormal="100" workbookViewId="0">
      <selection activeCell="A34" sqref="A34"/>
    </sheetView>
  </sheetViews>
  <sheetFormatPr defaultColWidth="9.140625" defaultRowHeight="11.25" x14ac:dyDescent="0.2"/>
  <cols>
    <col min="1" max="1" width="12.85546875" style="134" bestFit="1" customWidth="1"/>
    <col min="2" max="2" width="11.140625" style="134" bestFit="1" customWidth="1"/>
    <col min="3" max="3" width="10.7109375" style="134" bestFit="1" customWidth="1"/>
    <col min="4" max="4" width="9" style="134" bestFit="1" customWidth="1"/>
    <col min="5" max="5" width="15" style="134" bestFit="1" customWidth="1"/>
    <col min="6" max="6" width="1.7109375" style="134" customWidth="1"/>
    <col min="7" max="7" width="20.42578125" style="134" bestFit="1" customWidth="1"/>
    <col min="8" max="8" width="11.140625" style="134" bestFit="1" customWidth="1"/>
    <col min="9" max="9" width="11.28515625" style="134" bestFit="1" customWidth="1"/>
    <col min="10" max="11" width="10" style="134" bestFit="1" customWidth="1"/>
    <col min="12" max="12" width="11.140625" style="134" bestFit="1" customWidth="1"/>
    <col min="13" max="16384" width="9.140625" style="134"/>
  </cols>
  <sheetData>
    <row r="1" spans="1:18" s="114" customFormat="1" ht="33.75" customHeight="1" x14ac:dyDescent="0.2">
      <c r="A1" s="669" t="s">
        <v>441</v>
      </c>
      <c r="B1" s="669"/>
      <c r="C1" s="669"/>
      <c r="D1" s="669"/>
      <c r="E1" s="669"/>
      <c r="F1" s="669"/>
      <c r="G1" s="669" t="s">
        <v>441</v>
      </c>
      <c r="H1" s="669"/>
      <c r="I1" s="669"/>
      <c r="J1" s="669"/>
      <c r="K1" s="669"/>
      <c r="L1" s="670"/>
    </row>
    <row r="2" spans="1:18" ht="5.25" customHeight="1" x14ac:dyDescent="0.2"/>
    <row r="3" spans="1:18" ht="12.75" x14ac:dyDescent="0.2">
      <c r="A3" s="671" t="s">
        <v>363</v>
      </c>
      <c r="B3" s="671"/>
      <c r="C3" s="671"/>
      <c r="D3" s="671"/>
      <c r="E3" s="671"/>
      <c r="F3" s="671"/>
      <c r="G3" s="672" t="s">
        <v>364</v>
      </c>
      <c r="H3" s="672"/>
      <c r="I3" s="672"/>
      <c r="J3" s="672"/>
      <c r="K3" s="672"/>
      <c r="L3" s="672"/>
    </row>
    <row r="4" spans="1:18" ht="12" x14ac:dyDescent="0.2">
      <c r="G4" s="519"/>
      <c r="H4" s="520" t="s">
        <v>7</v>
      </c>
      <c r="I4" s="520" t="s">
        <v>458</v>
      </c>
      <c r="J4" s="520" t="s">
        <v>460</v>
      </c>
      <c r="K4" s="520" t="s">
        <v>365</v>
      </c>
    </row>
    <row r="5" spans="1:18" ht="12" x14ac:dyDescent="0.2">
      <c r="A5" s="521" t="s">
        <v>366</v>
      </c>
      <c r="B5" s="522" t="s">
        <v>264</v>
      </c>
      <c r="C5" s="522" t="s">
        <v>349</v>
      </c>
      <c r="D5" s="522" t="s">
        <v>266</v>
      </c>
      <c r="E5" s="523" t="s">
        <v>212</v>
      </c>
      <c r="G5" s="524" t="s">
        <v>12</v>
      </c>
      <c r="H5" s="525">
        <f>I5+J5+K5</f>
        <v>128</v>
      </c>
      <c r="I5" s="525">
        <v>42</v>
      </c>
      <c r="J5" s="525">
        <v>19</v>
      </c>
      <c r="K5" s="525">
        <v>67</v>
      </c>
    </row>
    <row r="6" spans="1:18" ht="3" customHeight="1" x14ac:dyDescent="0.2">
      <c r="A6" s="526"/>
      <c r="B6" s="526"/>
      <c r="C6" s="526"/>
      <c r="D6" s="526"/>
      <c r="E6" s="526"/>
      <c r="G6" s="527" t="s">
        <v>12</v>
      </c>
      <c r="H6" s="527">
        <v>152</v>
      </c>
      <c r="I6" s="527">
        <v>38</v>
      </c>
      <c r="J6" s="527">
        <v>21</v>
      </c>
      <c r="K6" s="527">
        <v>80</v>
      </c>
    </row>
    <row r="7" spans="1:18" ht="12" x14ac:dyDescent="0.2">
      <c r="A7" s="521" t="s">
        <v>206</v>
      </c>
      <c r="B7" s="522">
        <f>SUM(B8:B10)</f>
        <v>794381.61800000013</v>
      </c>
      <c r="C7" s="522">
        <f>SUM(C8:C10)</f>
        <v>738702.098</v>
      </c>
      <c r="D7" s="522">
        <f>SUM(D8:D10)</f>
        <v>55679.519999999997</v>
      </c>
      <c r="E7" s="523">
        <f>C7/B7</f>
        <v>0.92990834790439458</v>
      </c>
      <c r="G7" s="527" t="s">
        <v>367</v>
      </c>
      <c r="H7" s="528">
        <f>'App 1 - Services'!F134</f>
        <v>8341272</v>
      </c>
      <c r="I7" s="529">
        <f>'App 1 - Services'!F187</f>
        <v>6434099</v>
      </c>
      <c r="J7" s="529">
        <f>'App 1 - Services'!F216</f>
        <v>851504</v>
      </c>
      <c r="K7" s="529">
        <f>'App 1 - Services'!F293</f>
        <v>1055669</v>
      </c>
      <c r="O7" s="530" t="s">
        <v>368</v>
      </c>
      <c r="P7" s="530" t="s">
        <v>369</v>
      </c>
      <c r="Q7" s="530" t="s">
        <v>207</v>
      </c>
      <c r="R7" s="530" t="s">
        <v>0</v>
      </c>
    </row>
    <row r="8" spans="1:18" ht="12" x14ac:dyDescent="0.2">
      <c r="A8" s="531" t="s">
        <v>458</v>
      </c>
      <c r="B8" s="532">
        <f>'App 3 - Recycling Rate'!F136</f>
        <v>525051.29</v>
      </c>
      <c r="C8" s="532">
        <f>'App 3 - Recycling Rate'!G136</f>
        <v>488030.82999999996</v>
      </c>
      <c r="D8" s="532">
        <f>'App 3 - Recycling Rate'!H136</f>
        <v>37020.46</v>
      </c>
      <c r="E8" s="533">
        <f>C8/B8</f>
        <v>0.92949172641781319</v>
      </c>
      <c r="G8" s="527" t="s">
        <v>370</v>
      </c>
      <c r="H8" s="528">
        <f>'App 1 - Services'!G134</f>
        <v>3512643</v>
      </c>
      <c r="I8" s="529">
        <f>'App 1 - Services'!G187</f>
        <v>2566478</v>
      </c>
      <c r="J8" s="529">
        <f>'App 1 - Services'!G216</f>
        <v>396778</v>
      </c>
      <c r="K8" s="529">
        <f>'App 1 - Services'!G293</f>
        <v>549387</v>
      </c>
      <c r="O8" s="534">
        <f>B19</f>
        <v>2218227.67</v>
      </c>
      <c r="P8" s="534">
        <f>B7</f>
        <v>794381.61800000013</v>
      </c>
      <c r="Q8" s="534">
        <f>B13</f>
        <v>843621.95000000007</v>
      </c>
      <c r="R8" s="534">
        <f>B25</f>
        <v>3856231.2380000004</v>
      </c>
    </row>
    <row r="9" spans="1:18" ht="12" x14ac:dyDescent="0.2">
      <c r="A9" s="531" t="s">
        <v>460</v>
      </c>
      <c r="B9" s="532">
        <f>'App 3 - Recycling Rate'!F137</f>
        <v>118627.148</v>
      </c>
      <c r="C9" s="532">
        <f>'App 3 - Recycling Rate'!G137</f>
        <v>110500.85800000001</v>
      </c>
      <c r="D9" s="532">
        <f>'App 3 - Recycling Rate'!H137</f>
        <v>8126.2900000000009</v>
      </c>
      <c r="E9" s="533">
        <f>C9/B9</f>
        <v>0.93149721512313532</v>
      </c>
      <c r="G9" s="535" t="s">
        <v>519</v>
      </c>
      <c r="H9" s="536">
        <f>'App 1 - Services'!M134</f>
        <v>3033249</v>
      </c>
      <c r="I9" s="537">
        <f>'App 1 - Services'!M187</f>
        <v>2332481</v>
      </c>
      <c r="J9" s="537">
        <f>'App 1 - Services'!M216</f>
        <v>297125</v>
      </c>
      <c r="K9" s="537">
        <f>'App 1 - Services'!M293</f>
        <v>403643</v>
      </c>
    </row>
    <row r="10" spans="1:18" ht="12.75" x14ac:dyDescent="0.2">
      <c r="A10" s="531" t="s">
        <v>478</v>
      </c>
      <c r="B10" s="532">
        <f>'App 3 - Recycling Rate'!F138</f>
        <v>150703.18000000005</v>
      </c>
      <c r="C10" s="532">
        <f>'App 3 - Recycling Rate'!G138</f>
        <v>140170.41</v>
      </c>
      <c r="D10" s="532">
        <f>'App 3 - Recycling Rate'!H138</f>
        <v>10532.769999999997</v>
      </c>
      <c r="E10" s="533">
        <f>C10/B10</f>
        <v>0.93010917221521106</v>
      </c>
      <c r="G10" s="672" t="s">
        <v>371</v>
      </c>
      <c r="H10" s="672"/>
      <c r="I10" s="672"/>
      <c r="J10" s="672"/>
      <c r="K10" s="672"/>
      <c r="L10" s="672"/>
      <c r="P10" s="153"/>
    </row>
    <row r="11" spans="1:18" ht="12" x14ac:dyDescent="0.2">
      <c r="G11" s="538" t="s">
        <v>372</v>
      </c>
      <c r="H11" s="539"/>
      <c r="I11" s="539"/>
      <c r="J11" s="539"/>
      <c r="K11" s="539"/>
      <c r="L11" s="547"/>
    </row>
    <row r="12" spans="1:18" ht="12" x14ac:dyDescent="0.2">
      <c r="A12" s="540"/>
      <c r="B12" s="541"/>
      <c r="C12" s="541"/>
      <c r="D12" s="541"/>
      <c r="E12" s="542"/>
      <c r="G12" s="543" t="s">
        <v>334</v>
      </c>
      <c r="H12" s="544">
        <f>SUM(I12:K12)</f>
        <v>538761.09999999986</v>
      </c>
      <c r="I12" s="545">
        <f>'App 4 - Recyclables'!F138</f>
        <v>402592.37999999989</v>
      </c>
      <c r="J12" s="545">
        <f>'App 4 - Recyclables'!F139</f>
        <v>67647.009999999995</v>
      </c>
      <c r="K12" s="545">
        <f>'App 4 - Recyclables'!F140</f>
        <v>68521.710000000006</v>
      </c>
      <c r="L12" s="153"/>
    </row>
    <row r="13" spans="1:18" ht="12" x14ac:dyDescent="0.2">
      <c r="A13" s="521" t="s">
        <v>207</v>
      </c>
      <c r="B13" s="522">
        <f>SUM(B14:B16)</f>
        <v>843621.95000000007</v>
      </c>
      <c r="C13" s="522">
        <f>SUM(C14:C16)</f>
        <v>816547.12000000011</v>
      </c>
      <c r="D13" s="522">
        <f>SUM(D14:D16)</f>
        <v>27074.829999999994</v>
      </c>
      <c r="E13" s="523">
        <f>C13/B13</f>
        <v>0.96790644197913533</v>
      </c>
      <c r="G13" s="543" t="s">
        <v>335</v>
      </c>
      <c r="H13" s="544">
        <f>SUM(I13:K13)</f>
        <v>108657.74799999999</v>
      </c>
      <c r="I13" s="545">
        <f>'App 4 - Recyclables'!N138</f>
        <v>23366.389999999996</v>
      </c>
      <c r="J13" s="545">
        <f>'App 4 - Recyclables'!N139</f>
        <v>30504.198000000004</v>
      </c>
      <c r="K13" s="545">
        <f>'App 4 - Recyclables'!N140</f>
        <v>54787.159999999989</v>
      </c>
      <c r="L13" s="153"/>
    </row>
    <row r="14" spans="1:18" ht="12" x14ac:dyDescent="0.2">
      <c r="A14" s="531" t="s">
        <v>458</v>
      </c>
      <c r="B14" s="532">
        <f>'App 3 - Recycling Rate'!I136</f>
        <v>547018.00000000012</v>
      </c>
      <c r="C14" s="532">
        <f>'App 3 - Recycling Rate'!J136</f>
        <v>538939.44000000006</v>
      </c>
      <c r="D14" s="532">
        <f>'App 3 - Recycling Rate'!K136</f>
        <v>8078.5599999999995</v>
      </c>
      <c r="E14" s="533">
        <f>C14/B14</f>
        <v>0.98523163771576061</v>
      </c>
      <c r="G14" s="543" t="s">
        <v>336</v>
      </c>
      <c r="H14" s="544">
        <f>SUM(I14:K14)</f>
        <v>19213.41</v>
      </c>
      <c r="I14" s="545">
        <f>'App 4 - Recyclables'!R138</f>
        <v>16621.400000000001</v>
      </c>
      <c r="J14" s="545">
        <f>'App 4 - Recyclables'!R139</f>
        <v>1507.1599999999999</v>
      </c>
      <c r="K14" s="545">
        <f>'App 4 - Recyclables'!R140</f>
        <v>1084.8499999999999</v>
      </c>
      <c r="L14" s="153"/>
    </row>
    <row r="15" spans="1:18" ht="12" x14ac:dyDescent="0.2">
      <c r="A15" s="531" t="s">
        <v>460</v>
      </c>
      <c r="B15" s="532">
        <f>'App 3 - Recycling Rate'!I137</f>
        <v>136328.14000000001</v>
      </c>
      <c r="C15" s="532">
        <f>'App 3 - Recycling Rate'!J137</f>
        <v>134911.69</v>
      </c>
      <c r="D15" s="532">
        <f>'App 3 - Recycling Rate'!K137</f>
        <v>1416.45</v>
      </c>
      <c r="E15" s="533">
        <f>C15/B15</f>
        <v>0.98960999541253913</v>
      </c>
      <c r="G15" s="521" t="s">
        <v>373</v>
      </c>
      <c r="H15" s="546">
        <f>SUM(I15:K15)</f>
        <v>666632.25799999991</v>
      </c>
      <c r="I15" s="546">
        <f>SUM(I12:I14)</f>
        <v>442580.16999999993</v>
      </c>
      <c r="J15" s="546">
        <f>SUM(J12:J14)</f>
        <v>99658.368000000002</v>
      </c>
      <c r="K15" s="546">
        <f>SUM(K12:K14)</f>
        <v>124393.72</v>
      </c>
    </row>
    <row r="16" spans="1:18" ht="12" x14ac:dyDescent="0.2">
      <c r="A16" s="531" t="s">
        <v>478</v>
      </c>
      <c r="B16" s="532">
        <f>'App 3 - Recycling Rate'!I138</f>
        <v>160275.80999999994</v>
      </c>
      <c r="C16" s="532">
        <f>'App 3 - Recycling Rate'!J138</f>
        <v>142695.98999999996</v>
      </c>
      <c r="D16" s="532">
        <f>'App 3 - Recycling Rate'!K138</f>
        <v>17579.819999999996</v>
      </c>
      <c r="E16" s="533">
        <f>C16/B16</f>
        <v>0.89031520102752881</v>
      </c>
      <c r="G16" s="525"/>
      <c r="H16" s="547"/>
      <c r="I16" s="547"/>
      <c r="J16" s="547"/>
      <c r="K16" s="547"/>
      <c r="L16" s="547"/>
    </row>
    <row r="17" spans="1:12" ht="12" x14ac:dyDescent="0.2">
      <c r="G17" s="548" t="s">
        <v>374</v>
      </c>
      <c r="H17" s="549">
        <f>(H15*1000)/H7</f>
        <v>79.919736222485</v>
      </c>
      <c r="I17" s="549">
        <f>(I15*1000)/I7</f>
        <v>68.786658396148383</v>
      </c>
      <c r="J17" s="549">
        <f>(J15*1000)/J7</f>
        <v>117.0380503203743</v>
      </c>
      <c r="K17" s="549">
        <f>(K15*1000)/K7</f>
        <v>117.83401804921807</v>
      </c>
    </row>
    <row r="18" spans="1:12" ht="12" x14ac:dyDescent="0.2">
      <c r="A18" s="540"/>
      <c r="B18" s="541"/>
      <c r="C18" s="541"/>
      <c r="D18" s="541"/>
      <c r="E18" s="550"/>
      <c r="G18" s="548" t="s">
        <v>375</v>
      </c>
      <c r="H18" s="549">
        <f>H17/52</f>
        <v>1.5369180042785577</v>
      </c>
      <c r="I18" s="549">
        <f>I17/52</f>
        <v>1.3228203537720842</v>
      </c>
      <c r="J18" s="549">
        <f>J17/52</f>
        <v>2.2507317369302751</v>
      </c>
      <c r="K18" s="549">
        <f>K17/52</f>
        <v>2.2660388086388092</v>
      </c>
    </row>
    <row r="19" spans="1:12" ht="12" x14ac:dyDescent="0.2">
      <c r="A19" s="521" t="s">
        <v>208</v>
      </c>
      <c r="B19" s="522">
        <f>SUM(B20:B22)</f>
        <v>2218227.67</v>
      </c>
      <c r="C19" s="522">
        <f>SUM(C20:C22)</f>
        <v>277705.95000000007</v>
      </c>
      <c r="D19" s="522">
        <f>SUM(D20:D22)</f>
        <v>1940521.7200000002</v>
      </c>
      <c r="E19" s="523">
        <f>C19/B19</f>
        <v>0.12519271748151986</v>
      </c>
      <c r="G19" s="551" t="s">
        <v>376</v>
      </c>
      <c r="H19" s="552">
        <f>(H15*1000)/H8</f>
        <v>189.78081689485663</v>
      </c>
      <c r="I19" s="552">
        <f>(I15*1000)/I8</f>
        <v>172.44650840568278</v>
      </c>
      <c r="J19" s="552">
        <f>(J15*1000)/J8</f>
        <v>251.16908699575077</v>
      </c>
      <c r="K19" s="552">
        <f>(K15*1000)/K8</f>
        <v>226.42275845624306</v>
      </c>
    </row>
    <row r="20" spans="1:12" ht="12" x14ac:dyDescent="0.2">
      <c r="A20" s="531" t="s">
        <v>458</v>
      </c>
      <c r="B20" s="532">
        <f>'App 3 - Recycling Rate'!L136</f>
        <v>1602889.03</v>
      </c>
      <c r="C20" s="532">
        <f>'App 3 - Recycling Rate'!M136</f>
        <v>246195.08000000007</v>
      </c>
      <c r="D20" s="532">
        <f>'App 3 - Recycling Rate'!N136</f>
        <v>1356693.9500000002</v>
      </c>
      <c r="E20" s="533">
        <f>C20/B20</f>
        <v>0.15359458789233843</v>
      </c>
      <c r="G20" s="551" t="s">
        <v>282</v>
      </c>
      <c r="H20" s="553">
        <f>H19/52</f>
        <v>3.6496310941318582</v>
      </c>
      <c r="I20" s="552">
        <f>I19/52</f>
        <v>3.316279007801592</v>
      </c>
      <c r="J20" s="552">
        <f>J19/52</f>
        <v>4.8301747499182843</v>
      </c>
      <c r="K20" s="552">
        <f>K19/52</f>
        <v>4.3542838164662125</v>
      </c>
    </row>
    <row r="21" spans="1:12" ht="12" x14ac:dyDescent="0.2">
      <c r="A21" s="531" t="s">
        <v>460</v>
      </c>
      <c r="B21" s="532">
        <f>'App 3 - Recycling Rate'!L137</f>
        <v>215234.26</v>
      </c>
      <c r="C21" s="532">
        <f>'App 3 - Recycling Rate'!M137</f>
        <v>11724.330000000002</v>
      </c>
      <c r="D21" s="532">
        <f>'App 3 - Recycling Rate'!N137</f>
        <v>203509.93000000002</v>
      </c>
      <c r="E21" s="533">
        <f>C21/B21</f>
        <v>5.447241531157726E-2</v>
      </c>
      <c r="G21" s="539"/>
      <c r="H21" s="539"/>
      <c r="I21" s="539"/>
      <c r="J21" s="539"/>
      <c r="K21" s="539"/>
      <c r="L21" s="539"/>
    </row>
    <row r="22" spans="1:12" ht="12" x14ac:dyDescent="0.2">
      <c r="A22" s="531" t="s">
        <v>478</v>
      </c>
      <c r="B22" s="532">
        <f>'App 3 - Recycling Rate'!L138</f>
        <v>400104.38000000012</v>
      </c>
      <c r="C22" s="532">
        <f>'App 3 - Recycling Rate'!M138</f>
        <v>19786.54</v>
      </c>
      <c r="D22" s="532">
        <f>'App 3 - Recycling Rate'!N138</f>
        <v>380317.83999999997</v>
      </c>
      <c r="E22" s="533">
        <f>C22/B22</f>
        <v>4.9453445123495011E-2</v>
      </c>
      <c r="G22" s="538" t="s">
        <v>377</v>
      </c>
      <c r="H22" s="539"/>
      <c r="I22" s="539"/>
      <c r="J22" s="539"/>
      <c r="K22" s="539"/>
      <c r="L22" s="539"/>
    </row>
    <row r="23" spans="1:12" ht="12" x14ac:dyDescent="0.2">
      <c r="G23" s="543" t="s">
        <v>334</v>
      </c>
      <c r="H23" s="544">
        <f>SUM(I23:K23)</f>
        <v>716515.27000000014</v>
      </c>
      <c r="I23" s="545">
        <f>'App 5 - Organics'!F137+'App 5 - Organics'!J137</f>
        <v>509546.62000000011</v>
      </c>
      <c r="J23" s="545">
        <f>'App 5 - Organics'!F138+'App 5 - Organics'!J138</f>
        <v>109165.61</v>
      </c>
      <c r="K23" s="545">
        <f>'App 5 - Organics'!F139+'App 5 - Organics'!J139</f>
        <v>97803.04</v>
      </c>
    </row>
    <row r="24" spans="1:12" ht="12" x14ac:dyDescent="0.2">
      <c r="A24" s="554"/>
      <c r="B24" s="555"/>
      <c r="C24" s="541"/>
      <c r="D24" s="541"/>
      <c r="E24" s="539"/>
      <c r="G24" s="543" t="s">
        <v>335</v>
      </c>
      <c r="H24" s="544">
        <f>SUM(I24:K24)</f>
        <v>113706.98</v>
      </c>
      <c r="I24" s="545">
        <f>'App 5 - Organics'!N137</f>
        <v>24778.25</v>
      </c>
      <c r="J24" s="545">
        <f>'App 5 - Organics'!N138</f>
        <v>26538.39</v>
      </c>
      <c r="K24" s="545">
        <f>'App 5 - Organics'!N139</f>
        <v>62390.34</v>
      </c>
    </row>
    <row r="25" spans="1:12" ht="12" x14ac:dyDescent="0.2">
      <c r="A25" s="521" t="s">
        <v>378</v>
      </c>
      <c r="B25" s="522">
        <f>SUM(B26:B28)</f>
        <v>3856231.2380000004</v>
      </c>
      <c r="C25" s="522">
        <f>SUM(C26:C28)</f>
        <v>1832955.1680000001</v>
      </c>
      <c r="D25" s="522">
        <f>SUM(D26:D28)</f>
        <v>2023276.07</v>
      </c>
      <c r="E25" s="523">
        <f>C25/B25</f>
        <v>0.47532293964576816</v>
      </c>
      <c r="G25" s="543" t="s">
        <v>336</v>
      </c>
      <c r="H25" s="544">
        <f>SUM(I25:K25)</f>
        <v>13399.7</v>
      </c>
      <c r="I25" s="545">
        <f>'App 5 - Organics'!R137</f>
        <v>12693.130000000001</v>
      </c>
      <c r="J25" s="545">
        <f>'App 5 - Organics'!R138</f>
        <v>624.14</v>
      </c>
      <c r="K25" s="545">
        <f>'App 5 - Organics'!R139</f>
        <v>82.43</v>
      </c>
    </row>
    <row r="26" spans="1:12" ht="12" x14ac:dyDescent="0.2">
      <c r="A26" s="531" t="s">
        <v>458</v>
      </c>
      <c r="B26" s="522">
        <f t="shared" ref="B26:D28" si="0">B8+B14+B20</f>
        <v>2674958.3200000003</v>
      </c>
      <c r="C26" s="522">
        <f t="shared" si="0"/>
        <v>1273165.3500000001</v>
      </c>
      <c r="D26" s="522">
        <f t="shared" si="0"/>
        <v>1401792.9700000002</v>
      </c>
      <c r="E26" s="533">
        <f>C26/B26</f>
        <v>0.47595707958544936</v>
      </c>
      <c r="G26" s="521" t="s">
        <v>379</v>
      </c>
      <c r="H26" s="546">
        <f>SUM(I26:K26)</f>
        <v>843621.95000000019</v>
      </c>
      <c r="I26" s="546">
        <f>SUM(I23:I25)</f>
        <v>547018.00000000012</v>
      </c>
      <c r="J26" s="546">
        <f>SUM(J23:J25)</f>
        <v>136328.14000000001</v>
      </c>
      <c r="K26" s="546">
        <f>SUM(K23:K25)</f>
        <v>160275.81</v>
      </c>
    </row>
    <row r="27" spans="1:12" ht="12" x14ac:dyDescent="0.2">
      <c r="A27" s="531" t="s">
        <v>460</v>
      </c>
      <c r="B27" s="522">
        <f t="shared" si="0"/>
        <v>470189.54800000001</v>
      </c>
      <c r="C27" s="522">
        <f t="shared" si="0"/>
        <v>257136.87800000003</v>
      </c>
      <c r="D27" s="522">
        <f t="shared" si="0"/>
        <v>213052.67</v>
      </c>
      <c r="E27" s="533">
        <f>C27/B27</f>
        <v>0.54687918753991538</v>
      </c>
      <c r="G27" s="525"/>
      <c r="H27" s="547"/>
      <c r="I27" s="547"/>
      <c r="J27" s="547"/>
      <c r="K27" s="547"/>
      <c r="L27" s="547"/>
    </row>
    <row r="28" spans="1:12" ht="12" x14ac:dyDescent="0.2">
      <c r="A28" s="531" t="s">
        <v>478</v>
      </c>
      <c r="B28" s="522">
        <f t="shared" si="0"/>
        <v>711083.37000000011</v>
      </c>
      <c r="C28" s="522">
        <f t="shared" si="0"/>
        <v>302652.93999999994</v>
      </c>
      <c r="D28" s="522">
        <f t="shared" si="0"/>
        <v>408430.42999999993</v>
      </c>
      <c r="E28" s="533">
        <f>C28/B28</f>
        <v>0.42562230079997498</v>
      </c>
      <c r="G28" s="548" t="s">
        <v>374</v>
      </c>
      <c r="H28" s="549">
        <f>(H26*1000)/H7</f>
        <v>101.13828562358358</v>
      </c>
      <c r="I28" s="549">
        <f>(I26*1000)/I7</f>
        <v>85.018586129930569</v>
      </c>
      <c r="J28" s="549">
        <f>(J26*1000)/J7</f>
        <v>160.10275935286271</v>
      </c>
      <c r="K28" s="549">
        <f>(K26*1000)/K7</f>
        <v>151.82392397617056</v>
      </c>
    </row>
    <row r="29" spans="1:12" ht="12" x14ac:dyDescent="0.2">
      <c r="B29" s="565"/>
      <c r="G29" s="548" t="s">
        <v>375</v>
      </c>
      <c r="H29" s="549">
        <f>H28/52</f>
        <v>1.9449670312227612</v>
      </c>
      <c r="I29" s="549">
        <f>I28/52</f>
        <v>1.6349728101909724</v>
      </c>
      <c r="J29" s="549">
        <f>J28/52</f>
        <v>3.0788992183242829</v>
      </c>
      <c r="K29" s="549">
        <f>K28/52</f>
        <v>2.9196908456955879</v>
      </c>
    </row>
    <row r="30" spans="1:12" ht="12" x14ac:dyDescent="0.2">
      <c r="G30" s="551" t="s">
        <v>376</v>
      </c>
      <c r="H30" s="552">
        <f>(H26*1000)/H8</f>
        <v>240.16728998648603</v>
      </c>
      <c r="I30" s="552">
        <f>(I26*1000)/I8</f>
        <v>213.13956324581787</v>
      </c>
      <c r="J30" s="552">
        <f>(J26*1000)/J8</f>
        <v>343.58795094486084</v>
      </c>
      <c r="K30" s="552">
        <f>(K26*1000)/K8</f>
        <v>291.73571635295338</v>
      </c>
    </row>
    <row r="31" spans="1:12" ht="12" x14ac:dyDescent="0.2">
      <c r="B31" s="153"/>
      <c r="C31" s="153"/>
      <c r="D31" s="153"/>
      <c r="G31" s="551" t="s">
        <v>282</v>
      </c>
      <c r="H31" s="553">
        <f>H30/52</f>
        <v>4.6186017305093463</v>
      </c>
      <c r="I31" s="552">
        <f>I30/52</f>
        <v>4.098837754727267</v>
      </c>
      <c r="J31" s="552">
        <f>J30/52</f>
        <v>6.6074605950934773</v>
      </c>
      <c r="K31" s="552">
        <f>K30/52</f>
        <v>5.6103022375567955</v>
      </c>
    </row>
    <row r="32" spans="1:12" ht="12" x14ac:dyDescent="0.2">
      <c r="F32" s="556"/>
      <c r="G32" s="539"/>
      <c r="H32" s="539"/>
      <c r="I32" s="539"/>
      <c r="J32" s="539"/>
      <c r="K32" s="539"/>
      <c r="L32" s="539"/>
    </row>
    <row r="33" spans="1:21" ht="12.75" x14ac:dyDescent="0.2">
      <c r="A33" s="668" t="s">
        <v>380</v>
      </c>
      <c r="B33" s="668"/>
      <c r="C33" s="668"/>
      <c r="D33" s="668"/>
      <c r="E33" s="668"/>
      <c r="F33" s="668"/>
      <c r="G33" s="557" t="s">
        <v>381</v>
      </c>
      <c r="H33" s="522">
        <f>SUM(I33:K33)</f>
        <v>1510254.2080000001</v>
      </c>
      <c r="I33" s="522">
        <f>I15+I26</f>
        <v>989598.17</v>
      </c>
      <c r="J33" s="522">
        <f>J15+J26</f>
        <v>235986.50800000003</v>
      </c>
      <c r="K33" s="522">
        <f>K15+K26</f>
        <v>284669.53000000003</v>
      </c>
    </row>
    <row r="34" spans="1:21" ht="12.75" x14ac:dyDescent="0.2">
      <c r="A34" s="134" t="s">
        <v>540</v>
      </c>
      <c r="G34" s="539"/>
      <c r="H34" s="539"/>
      <c r="I34" s="539"/>
      <c r="J34" s="539"/>
      <c r="K34" s="539"/>
      <c r="L34" s="539"/>
      <c r="U34"/>
    </row>
    <row r="35" spans="1:21" ht="12" x14ac:dyDescent="0.2">
      <c r="A35" s="521" t="s">
        <v>366</v>
      </c>
      <c r="B35" s="522" t="s">
        <v>264</v>
      </c>
      <c r="C35" s="522" t="s">
        <v>349</v>
      </c>
      <c r="D35" s="522" t="s">
        <v>266</v>
      </c>
      <c r="E35" s="523" t="s">
        <v>212</v>
      </c>
      <c r="G35" s="538" t="s">
        <v>382</v>
      </c>
      <c r="H35" s="539"/>
      <c r="I35" s="539"/>
      <c r="J35" s="539"/>
      <c r="K35" s="539"/>
      <c r="L35" s="539"/>
    </row>
    <row r="36" spans="1:21" ht="12" x14ac:dyDescent="0.2">
      <c r="A36" s="526"/>
      <c r="B36" s="526"/>
      <c r="C36" s="526"/>
      <c r="D36" s="526"/>
      <c r="E36" s="526"/>
      <c r="G36" s="543" t="s">
        <v>334</v>
      </c>
      <c r="H36" s="544">
        <f>SUM(I36:K36)</f>
        <v>1740950.05</v>
      </c>
      <c r="I36" s="545">
        <f>'App 6 - Residual Waste'!F138</f>
        <v>1366009.8800000001</v>
      </c>
      <c r="J36" s="545">
        <f>'App 6 - Residual Waste'!F139</f>
        <v>147477.26999999996</v>
      </c>
      <c r="K36" s="545">
        <f>'App 6 - Residual Waste'!F140</f>
        <v>227462.9</v>
      </c>
    </row>
    <row r="37" spans="1:21" ht="12" x14ac:dyDescent="0.2">
      <c r="A37" s="521" t="s">
        <v>206</v>
      </c>
      <c r="B37" s="522">
        <f>SUM(B38:B40)</f>
        <v>816797.728</v>
      </c>
      <c r="C37" s="522">
        <f>SUM(C38:C40)</f>
        <v>760716.228</v>
      </c>
      <c r="D37" s="522">
        <f>SUM(D38:D40)</f>
        <v>56081.5</v>
      </c>
      <c r="E37" s="523">
        <f>C37/B37</f>
        <v>0.93133979432420755</v>
      </c>
      <c r="G37" s="543" t="s">
        <v>335</v>
      </c>
      <c r="H37" s="544">
        <f>SUM(I37:K37)</f>
        <v>301499.78000000003</v>
      </c>
      <c r="I37" s="545">
        <f>'App 6 - Residual Waste'!P138</f>
        <v>75343.460000000006</v>
      </c>
      <c r="J37" s="558">
        <f>'App 6 - Residual Waste'!P139</f>
        <v>57153.22</v>
      </c>
      <c r="K37" s="545">
        <f>'App 6 - Residual Waste'!P140</f>
        <v>169003.1</v>
      </c>
    </row>
    <row r="38" spans="1:21" ht="12" x14ac:dyDescent="0.2">
      <c r="A38" s="531" t="s">
        <v>458</v>
      </c>
      <c r="B38" s="532">
        <f>'App 4 - Recyclables'!V138+'App 4 - Recyclables'!AB138</f>
        <v>525440.63</v>
      </c>
      <c r="C38" s="532">
        <f>'App 4 - Recyclables'!W138+'App 4 - Recyclables'!AC138</f>
        <v>488276.05999999994</v>
      </c>
      <c r="D38" s="532">
        <f>'App 4 - Recyclables'!X138+'App 4 - Recyclables'!AD138</f>
        <v>37164.57</v>
      </c>
      <c r="E38" s="533">
        <f>C38/B38</f>
        <v>0.9292697064557035</v>
      </c>
      <c r="G38" s="543" t="s">
        <v>336</v>
      </c>
      <c r="H38" s="544">
        <f>SUM(I38:K38)</f>
        <v>175777.83999999997</v>
      </c>
      <c r="I38" s="545">
        <f>'App 6 - Residual Waste'!W138</f>
        <v>161535.68999999997</v>
      </c>
      <c r="J38" s="545">
        <f>'App 6 - Residual Waste'!W139</f>
        <v>10603.77</v>
      </c>
      <c r="K38" s="545">
        <f>'App 6 - Residual Waste'!W140</f>
        <v>3638.3800000000006</v>
      </c>
    </row>
    <row r="39" spans="1:21" ht="12" x14ac:dyDescent="0.2">
      <c r="A39" s="531" t="s">
        <v>460</v>
      </c>
      <c r="B39" s="532">
        <f>'App 4 - Recyclables'!V139+'App 4 - Recyclables'!AB139</f>
        <v>139791.70799999998</v>
      </c>
      <c r="C39" s="532">
        <f>'App 4 - Recyclables'!W139+'App 4 - Recyclables'!AC139</f>
        <v>131458.04800000001</v>
      </c>
      <c r="D39" s="532">
        <f>'App 4 - Recyclables'!X139+'App 4 - Recyclables'!AD139</f>
        <v>8333.6600000000017</v>
      </c>
      <c r="E39" s="533">
        <f>C39/B39</f>
        <v>0.9403851621871594</v>
      </c>
      <c r="G39" s="521" t="s">
        <v>383</v>
      </c>
      <c r="H39" s="546">
        <f>SUM(I39:K39)</f>
        <v>2218227.67</v>
      </c>
      <c r="I39" s="546">
        <f>SUM(I36:I38)</f>
        <v>1602889.03</v>
      </c>
      <c r="J39" s="546">
        <f>SUM(J36:J38)</f>
        <v>215234.25999999995</v>
      </c>
      <c r="K39" s="546">
        <f>SUM(K36:K38)</f>
        <v>400104.38</v>
      </c>
    </row>
    <row r="40" spans="1:21" ht="12" x14ac:dyDescent="0.2">
      <c r="A40" s="531" t="s">
        <v>478</v>
      </c>
      <c r="B40" s="532">
        <f>'App 4 - Recyclables'!V140+'App 4 - Recyclables'!AB140</f>
        <v>151565.39000000004</v>
      </c>
      <c r="C40" s="532">
        <f>'App 4 - Recyclables'!W140+'App 4 - Recyclables'!AC140</f>
        <v>140982.12</v>
      </c>
      <c r="D40" s="532">
        <f>'App 4 - Recyclables'!X140+'App 4 - Recyclables'!AD140</f>
        <v>10583.269999999997</v>
      </c>
      <c r="E40" s="533">
        <f>C40/B40</f>
        <v>0.93017357062849215</v>
      </c>
      <c r="G40" s="559"/>
      <c r="H40" s="559"/>
      <c r="I40" s="559"/>
      <c r="J40" s="559"/>
      <c r="K40" s="559"/>
      <c r="L40" s="559"/>
    </row>
    <row r="41" spans="1:21" ht="12" x14ac:dyDescent="0.2">
      <c r="G41" s="548" t="s">
        <v>374</v>
      </c>
      <c r="H41" s="549">
        <f>(H39*1000)/H$7</f>
        <v>265.93398105229033</v>
      </c>
      <c r="I41" s="549">
        <f>(I39*1000)/I$7</f>
        <v>249.12408559457975</v>
      </c>
      <c r="J41" s="549">
        <f>(J39*1000)/J$7</f>
        <v>252.76952310265125</v>
      </c>
      <c r="K41" s="549">
        <f>(K39*1000)/K$7</f>
        <v>379.00552161709777</v>
      </c>
    </row>
    <row r="42" spans="1:21" ht="12" x14ac:dyDescent="0.2">
      <c r="A42" s="540"/>
      <c r="B42" s="541"/>
      <c r="C42" s="541"/>
      <c r="D42" s="541"/>
      <c r="E42" s="542"/>
      <c r="G42" s="548" t="s">
        <v>375</v>
      </c>
      <c r="H42" s="549">
        <f>H41/52</f>
        <v>5.114115020236353</v>
      </c>
      <c r="I42" s="549">
        <f>I41/52</f>
        <v>4.7908477998957641</v>
      </c>
      <c r="J42" s="549">
        <f>J41/52</f>
        <v>4.8609523673586779</v>
      </c>
      <c r="K42" s="549">
        <f>K41/52</f>
        <v>7.288567723405726</v>
      </c>
      <c r="U42" s="134" t="s">
        <v>384</v>
      </c>
    </row>
    <row r="43" spans="1:21" ht="12" x14ac:dyDescent="0.2">
      <c r="A43" s="521" t="s">
        <v>207</v>
      </c>
      <c r="B43" s="522">
        <f>SUM(B44:B46)</f>
        <v>887381.96000000008</v>
      </c>
      <c r="C43" s="522">
        <f>SUM(C44:C46)</f>
        <v>860305.13000000012</v>
      </c>
      <c r="D43" s="522">
        <f>SUM(D44:D46)</f>
        <v>27076.829999999994</v>
      </c>
      <c r="E43" s="523">
        <f>C43/B43</f>
        <v>0.96948683743807462</v>
      </c>
      <c r="G43" s="551" t="s">
        <v>376</v>
      </c>
      <c r="H43" s="552">
        <f>(H39*1000)/H$8</f>
        <v>631.49818242275114</v>
      </c>
      <c r="I43" s="552">
        <f>(I39*1000)/I$8</f>
        <v>624.54812782342185</v>
      </c>
      <c r="J43" s="552">
        <f>(J39*1000)/J$8</f>
        <v>542.45512604025407</v>
      </c>
      <c r="K43" s="552">
        <f>(K39*1000)/K$8</f>
        <v>728.27420379441082</v>
      </c>
    </row>
    <row r="44" spans="1:21" ht="12" x14ac:dyDescent="0.2">
      <c r="A44" s="531" t="s">
        <v>458</v>
      </c>
      <c r="B44" s="532">
        <f>'App 5 - Organics'!V137+'App 5 - Organics'!AD137</f>
        <v>561576.75000000012</v>
      </c>
      <c r="C44" s="532">
        <f>'App 5 - Organics'!W137+'App 5 - Organics'!AE137</f>
        <v>553498.19000000006</v>
      </c>
      <c r="D44" s="532">
        <f>'App 5 - Organics'!X137+'App 5 - Organics'!AF137</f>
        <v>8078.5599999999995</v>
      </c>
      <c r="E44" s="533">
        <f>C44/B44</f>
        <v>0.98561450416171958</v>
      </c>
      <c r="G44" s="551" t="s">
        <v>282</v>
      </c>
      <c r="H44" s="553">
        <f>H43/52</f>
        <v>12.144195815822137</v>
      </c>
      <c r="I44" s="552">
        <f>I43/52</f>
        <v>12.010540919681189</v>
      </c>
      <c r="J44" s="552">
        <f>J43/52</f>
        <v>10.431829346927962</v>
      </c>
      <c r="K44" s="552">
        <f>K43/52</f>
        <v>14.005273149892515</v>
      </c>
      <c r="U44" s="134" t="s">
        <v>385</v>
      </c>
    </row>
    <row r="45" spans="1:21" ht="12" x14ac:dyDescent="0.2">
      <c r="A45" s="531" t="s">
        <v>460</v>
      </c>
      <c r="B45" s="532">
        <f>'App 5 - Organics'!V138+'App 5 - Organics'!AD138</f>
        <v>151571.13</v>
      </c>
      <c r="C45" s="532">
        <f>'App 5 - Organics'!W138+'App 5 - Organics'!AE138</f>
        <v>150154.68</v>
      </c>
      <c r="D45" s="532">
        <f>'App 5 - Organics'!X138+'App 5 - Organics'!AF138</f>
        <v>1416.45</v>
      </c>
      <c r="E45" s="533">
        <f>C45/B45</f>
        <v>0.99065488262837376</v>
      </c>
      <c r="G45" s="539"/>
      <c r="H45" s="552"/>
      <c r="I45" s="539"/>
      <c r="J45" s="539"/>
      <c r="K45" s="539"/>
      <c r="L45" s="539"/>
    </row>
    <row r="46" spans="1:21" ht="12" customHeight="1" x14ac:dyDescent="0.2">
      <c r="A46" s="531" t="s">
        <v>478</v>
      </c>
      <c r="B46" s="532">
        <f>'App 5 - Organics'!V139+'App 5 - Organics'!AD139</f>
        <v>174234.07999999993</v>
      </c>
      <c r="C46" s="532">
        <f>'App 5 - Organics'!W139+'App 5 - Organics'!AE139</f>
        <v>156652.25999999995</v>
      </c>
      <c r="D46" s="532">
        <f>'App 5 - Organics'!X139+'App 5 - Organics'!AF139</f>
        <v>17581.819999999996</v>
      </c>
      <c r="E46" s="533">
        <f>C46/B46</f>
        <v>0.89909080932961005</v>
      </c>
      <c r="G46" s="521" t="s">
        <v>386</v>
      </c>
      <c r="H46" s="539"/>
      <c r="I46" s="539"/>
      <c r="J46" s="539"/>
      <c r="K46" s="539"/>
      <c r="L46" s="539"/>
    </row>
    <row r="47" spans="1:21" ht="12" x14ac:dyDescent="0.2">
      <c r="G47" s="543" t="s">
        <v>334</v>
      </c>
      <c r="H47" s="544">
        <f>H36+H23+H12</f>
        <v>2996226.42</v>
      </c>
      <c r="I47" s="545">
        <f>I36+I23+I12</f>
        <v>2278148.88</v>
      </c>
      <c r="J47" s="545">
        <f>J36+J23+J12</f>
        <v>324289.88999999996</v>
      </c>
      <c r="K47" s="545">
        <f>K36+K23+K12</f>
        <v>393787.65</v>
      </c>
    </row>
    <row r="48" spans="1:21" ht="12" x14ac:dyDescent="0.2">
      <c r="A48" s="540"/>
      <c r="B48" s="541"/>
      <c r="C48" s="541"/>
      <c r="D48" s="541"/>
      <c r="E48" s="550"/>
      <c r="G48" s="543" t="s">
        <v>335</v>
      </c>
      <c r="H48" s="544">
        <f t="shared" ref="H48:I49" si="1">H37+H24+H13</f>
        <v>523864.50800000003</v>
      </c>
      <c r="I48" s="545">
        <f t="shared" si="1"/>
        <v>123488.1</v>
      </c>
      <c r="J48" s="545">
        <f>J37+J24+J13</f>
        <v>114195.808</v>
      </c>
      <c r="K48" s="545">
        <f>K37+K24+K13</f>
        <v>286180.59999999998</v>
      </c>
    </row>
    <row r="49" spans="1:12" ht="12" x14ac:dyDescent="0.2">
      <c r="A49" s="521" t="s">
        <v>208</v>
      </c>
      <c r="B49" s="522">
        <f>SUM(B50:B52)</f>
        <v>2338061.7700000005</v>
      </c>
      <c r="C49" s="522">
        <f>SUM(C50:C52)</f>
        <v>286625.05000000005</v>
      </c>
      <c r="D49" s="522">
        <f>SUM(D50:D52)</f>
        <v>2051436.7200000002</v>
      </c>
      <c r="E49" s="523">
        <f>C49/B49</f>
        <v>0.12259088005189871</v>
      </c>
      <c r="G49" s="543" t="s">
        <v>336</v>
      </c>
      <c r="H49" s="544">
        <f t="shared" si="1"/>
        <v>208390.94999999998</v>
      </c>
      <c r="I49" s="545">
        <f t="shared" si="1"/>
        <v>190850.21999999997</v>
      </c>
      <c r="J49" s="545">
        <f>J38+J25+J14</f>
        <v>12735.07</v>
      </c>
      <c r="K49" s="545">
        <f>K38+K25+K14</f>
        <v>4805.66</v>
      </c>
    </row>
    <row r="50" spans="1:12" ht="12" x14ac:dyDescent="0.2">
      <c r="A50" s="531" t="s">
        <v>458</v>
      </c>
      <c r="B50" s="532">
        <f>'App 6 - Residual Waste'!AC138+'App 6 - Residual Waste'!AI138</f>
        <v>1630093.3800000001</v>
      </c>
      <c r="C50" s="532">
        <f>'App 6 - Residual Waste'!AD138+'App 6 - Residual Waste'!AJ138</f>
        <v>251914.79000000007</v>
      </c>
      <c r="D50" s="532">
        <f>'App 6 - Residual Waste'!AE138+'App 6 - Residual Waste'!AK138</f>
        <v>1378178.59</v>
      </c>
      <c r="E50" s="533">
        <f>C50/B50</f>
        <v>0.15454009757404208</v>
      </c>
      <c r="G50" s="521" t="s">
        <v>386</v>
      </c>
      <c r="H50" s="546">
        <f>SUM(I50:K50)</f>
        <v>3728481.8780000005</v>
      </c>
      <c r="I50" s="546">
        <f>I33+I39</f>
        <v>2592487.2000000002</v>
      </c>
      <c r="J50" s="546">
        <f>J33+J39</f>
        <v>451220.76799999998</v>
      </c>
      <c r="K50" s="546">
        <f>K33+K39</f>
        <v>684773.91</v>
      </c>
    </row>
    <row r="51" spans="1:12" ht="12.75" x14ac:dyDescent="0.2">
      <c r="A51" s="531" t="s">
        <v>460</v>
      </c>
      <c r="B51" s="532">
        <f>'App 6 - Residual Waste'!AC139+'App 6 - Residual Waste'!AI139</f>
        <v>257492.47</v>
      </c>
      <c r="C51" s="532">
        <f>'App 6 - Residual Waste'!AD139+'App 6 - Residual Waste'!AJ139</f>
        <v>12978.850000000002</v>
      </c>
      <c r="D51" s="532">
        <f>'App 6 - Residual Waste'!AE139+'App 6 - Residual Waste'!AK139</f>
        <v>244513.62000000002</v>
      </c>
      <c r="E51" s="533">
        <f>C51/B51</f>
        <v>5.0404774943515834E-2</v>
      </c>
      <c r="G51" s="119"/>
    </row>
    <row r="52" spans="1:12" ht="12" x14ac:dyDescent="0.2">
      <c r="A52" s="531" t="s">
        <v>478</v>
      </c>
      <c r="B52" s="532">
        <f>'App 6 - Residual Waste'!AC140+'App 6 - Residual Waste'!AI140</f>
        <v>450475.92000000016</v>
      </c>
      <c r="C52" s="532">
        <f>'App 6 - Residual Waste'!AD140+'App 6 - Residual Waste'!AJ140</f>
        <v>21731.41</v>
      </c>
      <c r="D52" s="532">
        <f>'App 6 - Residual Waste'!AE140+'App 6 - Residual Waste'!AK140</f>
        <v>428744.50999999995</v>
      </c>
      <c r="E52" s="533">
        <f>C52/B52</f>
        <v>4.8241002537938081E-2</v>
      </c>
      <c r="G52" s="548" t="s">
        <v>374</v>
      </c>
      <c r="H52" s="549">
        <f>(H50*1000)/H$7</f>
        <v>446.99200289835898</v>
      </c>
      <c r="I52" s="549">
        <f>(I50*1000)/I$7</f>
        <v>402.92933012065868</v>
      </c>
      <c r="J52" s="549">
        <f>(J50*1000)/J$7</f>
        <v>529.91033277588826</v>
      </c>
      <c r="K52" s="549">
        <f>(K50*1000)/K$7</f>
        <v>648.66346364248648</v>
      </c>
    </row>
    <row r="53" spans="1:12" ht="12" x14ac:dyDescent="0.2">
      <c r="G53" s="548" t="s">
        <v>375</v>
      </c>
      <c r="H53" s="549">
        <f>H52/52</f>
        <v>8.5960000557376723</v>
      </c>
      <c r="I53" s="549">
        <f>I52/52</f>
        <v>7.7486409638588203</v>
      </c>
      <c r="J53" s="549">
        <f>J52/52</f>
        <v>10.190583322613236</v>
      </c>
      <c r="K53" s="549">
        <f>K52/52</f>
        <v>12.474297377740125</v>
      </c>
    </row>
    <row r="54" spans="1:12" ht="12" x14ac:dyDescent="0.2">
      <c r="A54" s="554"/>
      <c r="B54" s="555"/>
      <c r="C54" s="541"/>
      <c r="D54" s="541"/>
      <c r="E54" s="539"/>
      <c r="G54" s="551" t="s">
        <v>376</v>
      </c>
      <c r="H54" s="552">
        <f>(H50*1000)/H$8</f>
        <v>1061.4462893040939</v>
      </c>
      <c r="I54" s="552">
        <f>(I50*1000)/I$8</f>
        <v>1010.1341994749224</v>
      </c>
      <c r="J54" s="552">
        <f>(J50*1000)/J$8</f>
        <v>1137.2121639808659</v>
      </c>
      <c r="K54" s="552">
        <f>(K50*1000)/K$8</f>
        <v>1246.4326786036072</v>
      </c>
    </row>
    <row r="55" spans="1:12" ht="12" x14ac:dyDescent="0.2">
      <c r="A55" s="521" t="s">
        <v>378</v>
      </c>
      <c r="B55" s="522">
        <f>SUM(B56:B58)</f>
        <v>4042241.4580000001</v>
      </c>
      <c r="C55" s="522">
        <f>SUM(C56:C58)</f>
        <v>1907646.4079999998</v>
      </c>
      <c r="D55" s="522">
        <f>SUM(D56:D58)</f>
        <v>2134595.0499999998</v>
      </c>
      <c r="E55" s="523">
        <f>C55/B55</f>
        <v>0.4719278716575866</v>
      </c>
      <c r="G55" s="551" t="s">
        <v>282</v>
      </c>
      <c r="H55" s="553">
        <f>H54/52</f>
        <v>20.412428640463343</v>
      </c>
      <c r="I55" s="552">
        <f>I54/52</f>
        <v>19.425657682210048</v>
      </c>
      <c r="J55" s="552">
        <f>J54/52</f>
        <v>21.869464691939729</v>
      </c>
      <c r="K55" s="552">
        <f>K54/52</f>
        <v>23.969859203915522</v>
      </c>
    </row>
    <row r="56" spans="1:12" ht="12" x14ac:dyDescent="0.2">
      <c r="A56" s="531" t="s">
        <v>458</v>
      </c>
      <c r="B56" s="522">
        <f t="shared" ref="B56:D56" si="2">B38+B44+B50</f>
        <v>2717110.7600000002</v>
      </c>
      <c r="C56" s="522">
        <f t="shared" si="2"/>
        <v>1293689.04</v>
      </c>
      <c r="D56" s="522">
        <f t="shared" si="2"/>
        <v>1423421.72</v>
      </c>
      <c r="E56" s="533">
        <f>C56/B56</f>
        <v>0.47612672219515995</v>
      </c>
      <c r="H56" s="520" t="s">
        <v>7</v>
      </c>
      <c r="I56" s="520" t="s">
        <v>8</v>
      </c>
      <c r="J56" s="520" t="s">
        <v>10</v>
      </c>
      <c r="K56" s="520" t="s">
        <v>365</v>
      </c>
    </row>
    <row r="57" spans="1:12" ht="12" x14ac:dyDescent="0.2">
      <c r="A57" s="531" t="s">
        <v>460</v>
      </c>
      <c r="B57" s="522">
        <f t="shared" ref="B57:D58" si="3">B39+B45+B51</f>
        <v>548855.30799999996</v>
      </c>
      <c r="C57" s="522">
        <f t="shared" si="3"/>
        <v>294591.57799999998</v>
      </c>
      <c r="D57" s="522">
        <f t="shared" si="3"/>
        <v>254263.73000000004</v>
      </c>
      <c r="E57" s="533">
        <f>C57/B57</f>
        <v>0.53673814155770172</v>
      </c>
    </row>
    <row r="58" spans="1:12" ht="12" x14ac:dyDescent="0.2">
      <c r="A58" s="531" t="s">
        <v>478</v>
      </c>
      <c r="B58" s="522">
        <f t="shared" si="3"/>
        <v>776275.39000000013</v>
      </c>
      <c r="C58" s="522">
        <f t="shared" si="3"/>
        <v>319365.78999999992</v>
      </c>
      <c r="D58" s="522">
        <f t="shared" si="3"/>
        <v>456909.59999999992</v>
      </c>
      <c r="E58" s="533">
        <f>C58/B58</f>
        <v>0.41140785102049915</v>
      </c>
      <c r="G58" s="521" t="s">
        <v>387</v>
      </c>
      <c r="H58" s="547"/>
      <c r="I58" s="539"/>
      <c r="J58" s="539"/>
      <c r="K58" s="539"/>
      <c r="L58" s="539"/>
    </row>
    <row r="59" spans="1:12" ht="12" x14ac:dyDescent="0.2">
      <c r="G59" s="543" t="s">
        <v>388</v>
      </c>
      <c r="H59" s="544">
        <f>SUM(I59:K59)</f>
        <v>127749.35999999999</v>
      </c>
      <c r="I59" s="545">
        <f>'App 4 - Recyclables'!J138</f>
        <v>82471.119999999981</v>
      </c>
      <c r="J59" s="545">
        <f>'App 4 - Recyclables'!J139</f>
        <v>18968.780000000002</v>
      </c>
      <c r="K59" s="545">
        <f>'App 4 - Recyclables'!J140</f>
        <v>26309.460000000014</v>
      </c>
    </row>
    <row r="60" spans="1:12" ht="12" x14ac:dyDescent="0.2">
      <c r="G60" s="543" t="s">
        <v>238</v>
      </c>
      <c r="H60" s="544">
        <f>SUM(I60:K60)</f>
        <v>22416.109999999997</v>
      </c>
      <c r="I60" s="545">
        <f>'App 4 - Recyclables'!AB138</f>
        <v>389.34000000000003</v>
      </c>
      <c r="J60" s="545">
        <f>'App 4 - Recyclables'!AB139</f>
        <v>21164.559999999998</v>
      </c>
      <c r="K60" s="545">
        <f>'App 4 - Recyclables'!AB140</f>
        <v>862.21</v>
      </c>
    </row>
    <row r="61" spans="1:12" ht="12" x14ac:dyDescent="0.2">
      <c r="G61" s="543" t="s">
        <v>389</v>
      </c>
      <c r="H61" s="544">
        <f>SUM(I61:K61)</f>
        <v>43760.01</v>
      </c>
      <c r="I61" s="545">
        <f>'App 5 - Organics'!AD137</f>
        <v>14558.750000000002</v>
      </c>
      <c r="J61" s="545">
        <f>'App 5 - Organics'!AD138</f>
        <v>15242.99</v>
      </c>
      <c r="K61" s="545">
        <f>'App 5 - Organics'!AD139</f>
        <v>13958.270000000002</v>
      </c>
    </row>
    <row r="62" spans="1:12" ht="12" x14ac:dyDescent="0.2">
      <c r="G62" s="543" t="s">
        <v>339</v>
      </c>
      <c r="H62" s="544">
        <f>SUM(I62:K62)</f>
        <v>119834.1</v>
      </c>
      <c r="I62" s="545">
        <f>'App 6 - Residual Waste'!AI138</f>
        <v>27204.350000000002</v>
      </c>
      <c r="J62" s="545">
        <f>'App 6 - Residual Waste'!AI139</f>
        <v>42258.21</v>
      </c>
      <c r="K62" s="545">
        <f>'App 6 - Residual Waste'!AI140</f>
        <v>50371.540000000008</v>
      </c>
    </row>
    <row r="63" spans="1:12" ht="12" x14ac:dyDescent="0.2">
      <c r="G63" s="521" t="s">
        <v>390</v>
      </c>
      <c r="H63" s="546">
        <f>SUM(I63:K63)</f>
        <v>313759.58</v>
      </c>
      <c r="I63" s="546">
        <f>SUM(I59:I62)</f>
        <v>124623.55999999998</v>
      </c>
      <c r="J63" s="546">
        <f>SUM(J59:J62)</f>
        <v>97634.54</v>
      </c>
      <c r="K63" s="546">
        <f>SUM(K59:K62)</f>
        <v>91501.480000000025</v>
      </c>
    </row>
    <row r="65" spans="7:12" ht="12" x14ac:dyDescent="0.2">
      <c r="G65" s="521" t="s">
        <v>213</v>
      </c>
      <c r="H65" s="539"/>
      <c r="I65" s="539"/>
      <c r="J65" s="539"/>
      <c r="K65" s="539"/>
      <c r="L65" s="539"/>
    </row>
    <row r="66" spans="7:12" ht="12" x14ac:dyDescent="0.2">
      <c r="G66" s="543" t="s">
        <v>391</v>
      </c>
      <c r="H66" s="544">
        <f>SUM(I66:K66)</f>
        <v>3728481.8780000005</v>
      </c>
      <c r="I66" s="545">
        <f>I50</f>
        <v>2592487.2000000002</v>
      </c>
      <c r="J66" s="545">
        <f>J50</f>
        <v>451220.76799999998</v>
      </c>
      <c r="K66" s="545">
        <f>K50</f>
        <v>684773.91</v>
      </c>
    </row>
    <row r="67" spans="7:12" ht="12" x14ac:dyDescent="0.2">
      <c r="G67" s="543" t="s">
        <v>388</v>
      </c>
      <c r="H67" s="544">
        <f>SUM(I67:K67)</f>
        <v>127749.35999999999</v>
      </c>
      <c r="I67" s="545">
        <f>I59</f>
        <v>82471.119999999981</v>
      </c>
      <c r="J67" s="545">
        <f>J59</f>
        <v>18968.780000000002</v>
      </c>
      <c r="K67" s="545">
        <f>K59</f>
        <v>26309.460000000014</v>
      </c>
    </row>
    <row r="68" spans="7:12" ht="12" x14ac:dyDescent="0.2">
      <c r="G68" s="543" t="s">
        <v>392</v>
      </c>
      <c r="H68" s="544">
        <f>SUM(I68:K68)</f>
        <v>186010.22</v>
      </c>
      <c r="I68" s="545">
        <f>I60+I61+I62</f>
        <v>42152.44</v>
      </c>
      <c r="J68" s="545">
        <f>J60+J61+J62</f>
        <v>78665.759999999995</v>
      </c>
      <c r="K68" s="545">
        <f>K60+K61+K62</f>
        <v>65192.020000000011</v>
      </c>
    </row>
    <row r="69" spans="7:12" ht="12" x14ac:dyDescent="0.2">
      <c r="G69" s="521" t="s">
        <v>378</v>
      </c>
      <c r="H69" s="546">
        <f>SUM(I69:K69)</f>
        <v>4042241.4580000001</v>
      </c>
      <c r="I69" s="546">
        <f>SUM(I66:I68)</f>
        <v>2717110.7600000002</v>
      </c>
      <c r="J69" s="546">
        <f>SUM(J66:J68)</f>
        <v>548855.30799999996</v>
      </c>
      <c r="K69" s="546">
        <f>SUM(K66:K68)</f>
        <v>776275.39</v>
      </c>
    </row>
    <row r="71" spans="7:12" ht="12" x14ac:dyDescent="0.2">
      <c r="G71" s="521" t="s">
        <v>393</v>
      </c>
      <c r="H71" s="515">
        <f>(H69*1000)/H7/52</f>
        <v>9.3193715123839809</v>
      </c>
      <c r="I71" s="153"/>
      <c r="J71" s="153"/>
      <c r="K71" s="153"/>
      <c r="L71" s="153"/>
    </row>
    <row r="72" spans="7:12" ht="12" x14ac:dyDescent="0.2">
      <c r="G72" s="521" t="s">
        <v>394</v>
      </c>
      <c r="H72" s="515">
        <f>(H69*1000)/H8/52</f>
        <v>22.130177377503536</v>
      </c>
    </row>
    <row r="73" spans="7:12" x14ac:dyDescent="0.2">
      <c r="H73" s="184"/>
      <c r="I73" s="184"/>
      <c r="J73" s="184"/>
      <c r="K73" s="184"/>
    </row>
    <row r="75" spans="7:12" x14ac:dyDescent="0.2">
      <c r="H75" s="570"/>
    </row>
  </sheetData>
  <mergeCells count="6">
    <mergeCell ref="A33:F33"/>
    <mergeCell ref="A1:F1"/>
    <mergeCell ref="G1:L1"/>
    <mergeCell ref="A3:F3"/>
    <mergeCell ref="G3:L3"/>
    <mergeCell ref="G10:L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4B80-6CD4-426B-830F-62B2516087E4}">
  <dimension ref="A1:AT224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Y11" sqref="Y11"/>
    </sheetView>
  </sheetViews>
  <sheetFormatPr defaultColWidth="9.140625" defaultRowHeight="12.75" x14ac:dyDescent="0.2"/>
  <cols>
    <col min="1" max="1" width="5.28515625" style="119" bestFit="1" customWidth="1"/>
    <col min="2" max="2" width="26" style="119" bestFit="1" customWidth="1"/>
    <col min="3" max="3" width="13.5703125" style="119" bestFit="1" customWidth="1"/>
    <col min="4" max="4" width="3" style="216" bestFit="1" customWidth="1"/>
    <col min="5" max="5" width="0.85546875" style="119" customWidth="1"/>
    <col min="6" max="6" width="9.5703125" style="208" bestFit="1" customWidth="1"/>
    <col min="7" max="7" width="9.42578125" style="208" bestFit="1" customWidth="1"/>
    <col min="8" max="8" width="8.42578125" style="208" bestFit="1" customWidth="1"/>
    <col min="9" max="9" width="9" style="208" bestFit="1" customWidth="1"/>
    <col min="10" max="10" width="9.42578125" style="208" bestFit="1" customWidth="1"/>
    <col min="11" max="11" width="8.42578125" style="208" bestFit="1" customWidth="1"/>
    <col min="12" max="12" width="9.5703125" style="208" bestFit="1" customWidth="1"/>
    <col min="13" max="13" width="9.42578125" style="208" bestFit="1" customWidth="1"/>
    <col min="14" max="14" width="9" style="208" bestFit="1" customWidth="1"/>
    <col min="15" max="15" width="0.85546875" style="208" customWidth="1"/>
    <col min="16" max="17" width="9.85546875" style="119" customWidth="1"/>
    <col min="18" max="18" width="9" style="119" customWidth="1"/>
    <col min="19" max="19" width="8.7109375" style="119" customWidth="1"/>
    <col min="20" max="20" width="1.7109375" style="119" customWidth="1"/>
    <col min="21" max="21" width="9.140625" style="134" bestFit="1"/>
    <col min="22" max="22" width="10" style="134" bestFit="1" customWidth="1"/>
    <col min="23" max="23" width="9.140625" style="119"/>
    <col min="24" max="24" width="10.42578125" style="119" bestFit="1" customWidth="1"/>
    <col min="25" max="31" width="9.140625" style="119"/>
    <col min="32" max="32" width="9.5703125" style="208" bestFit="1" customWidth="1"/>
    <col min="33" max="33" width="9.42578125" style="208" bestFit="1" customWidth="1"/>
    <col min="34" max="34" width="8.42578125" style="208" bestFit="1" customWidth="1"/>
    <col min="35" max="35" width="9" style="208" bestFit="1" customWidth="1"/>
    <col min="36" max="36" width="9.42578125" style="208" bestFit="1" customWidth="1"/>
    <col min="37" max="37" width="8.42578125" style="208" bestFit="1" customWidth="1"/>
    <col min="38" max="38" width="9.5703125" style="208" bestFit="1" customWidth="1"/>
    <col min="39" max="39" width="9.42578125" style="208" bestFit="1" customWidth="1"/>
    <col min="40" max="40" width="9" style="208" bestFit="1" customWidth="1"/>
    <col min="41" max="41" width="0.85546875" style="208" customWidth="1"/>
    <col min="42" max="43" width="9.85546875" style="119" customWidth="1"/>
    <col min="44" max="44" width="9" style="119" customWidth="1"/>
    <col min="45" max="45" width="8.7109375" style="119" customWidth="1"/>
    <col min="46" max="46" width="1.7109375" style="119" customWidth="1"/>
    <col min="47" max="16384" width="9.140625" style="119"/>
  </cols>
  <sheetData>
    <row r="1" spans="1:45" s="113" customFormat="1" ht="15.75" x14ac:dyDescent="0.25">
      <c r="A1" s="717" t="s">
        <v>442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8"/>
      <c r="U1" s="114"/>
      <c r="V1" s="114"/>
    </row>
    <row r="2" spans="1:45" ht="15.75" x14ac:dyDescent="0.25">
      <c r="A2" s="115"/>
      <c r="B2" s="116"/>
      <c r="C2" s="117"/>
      <c r="D2" s="117"/>
      <c r="E2" s="118"/>
      <c r="F2" s="707" t="s">
        <v>204</v>
      </c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9"/>
      <c r="U2" s="705" t="s">
        <v>205</v>
      </c>
      <c r="V2" s="705"/>
      <c r="AF2" s="707" t="s">
        <v>542</v>
      </c>
      <c r="AG2" s="708"/>
      <c r="AH2" s="708"/>
      <c r="AI2" s="708"/>
      <c r="AJ2" s="708"/>
      <c r="AK2" s="708"/>
      <c r="AL2" s="708"/>
      <c r="AM2" s="708"/>
      <c r="AN2" s="708"/>
      <c r="AO2" s="708"/>
      <c r="AP2" s="708"/>
      <c r="AQ2" s="708"/>
      <c r="AR2" s="708"/>
      <c r="AS2" s="709"/>
    </row>
    <row r="3" spans="1:45" ht="15.75" customHeight="1" thickBot="1" x14ac:dyDescent="0.3">
      <c r="A3" s="115"/>
      <c r="B3" s="219" t="s">
        <v>440</v>
      </c>
      <c r="C3" s="117"/>
      <c r="D3" s="117"/>
      <c r="E3" s="120"/>
      <c r="F3" s="710" t="s">
        <v>206</v>
      </c>
      <c r="G3" s="710"/>
      <c r="H3" s="710"/>
      <c r="I3" s="710" t="s">
        <v>207</v>
      </c>
      <c r="J3" s="710"/>
      <c r="K3" s="710"/>
      <c r="L3" s="710" t="s">
        <v>208</v>
      </c>
      <c r="M3" s="710"/>
      <c r="N3" s="710"/>
      <c r="O3" s="121"/>
      <c r="P3" s="711" t="s">
        <v>209</v>
      </c>
      <c r="Q3" s="713" t="s">
        <v>210</v>
      </c>
      <c r="R3" s="714" t="s">
        <v>211</v>
      </c>
      <c r="S3" s="715" t="s">
        <v>212</v>
      </c>
      <c r="U3" s="706"/>
      <c r="V3" s="706"/>
      <c r="AF3" s="710" t="s">
        <v>206</v>
      </c>
      <c r="AG3" s="710"/>
      <c r="AH3" s="710"/>
      <c r="AI3" s="710" t="s">
        <v>207</v>
      </c>
      <c r="AJ3" s="710"/>
      <c r="AK3" s="710"/>
      <c r="AL3" s="710" t="s">
        <v>208</v>
      </c>
      <c r="AM3" s="710"/>
      <c r="AN3" s="710"/>
      <c r="AO3" s="121"/>
      <c r="AP3" s="711" t="s">
        <v>209</v>
      </c>
      <c r="AQ3" s="713" t="s">
        <v>210</v>
      </c>
      <c r="AR3" s="714" t="s">
        <v>211</v>
      </c>
      <c r="AS3" s="715" t="s">
        <v>212</v>
      </c>
    </row>
    <row r="4" spans="1:45" ht="60" x14ac:dyDescent="0.25">
      <c r="A4" s="7" t="s">
        <v>35</v>
      </c>
      <c r="B4" s="33" t="s">
        <v>36</v>
      </c>
      <c r="C4" s="32" t="s">
        <v>14</v>
      </c>
      <c r="D4" s="34" t="s">
        <v>4</v>
      </c>
      <c r="E4" s="122"/>
      <c r="F4" s="35" t="s">
        <v>518</v>
      </c>
      <c r="G4" s="35" t="s">
        <v>451</v>
      </c>
      <c r="H4" s="35" t="s">
        <v>452</v>
      </c>
      <c r="I4" s="35" t="s">
        <v>452</v>
      </c>
      <c r="J4" s="35" t="s">
        <v>451</v>
      </c>
      <c r="K4" s="35" t="s">
        <v>452</v>
      </c>
      <c r="L4" s="35" t="s">
        <v>452</v>
      </c>
      <c r="M4" s="35" t="s">
        <v>451</v>
      </c>
      <c r="N4" s="35" t="s">
        <v>452</v>
      </c>
      <c r="O4" s="121"/>
      <c r="P4" s="712"/>
      <c r="Q4" s="713"/>
      <c r="R4" s="714"/>
      <c r="S4" s="716"/>
      <c r="U4" s="123" t="s">
        <v>214</v>
      </c>
      <c r="V4" s="123" t="s">
        <v>215</v>
      </c>
      <c r="X4" s="124" t="s">
        <v>216</v>
      </c>
      <c r="Y4" s="125" t="s">
        <v>217</v>
      </c>
      <c r="Z4" s="125" t="s">
        <v>218</v>
      </c>
      <c r="AA4" s="125" t="s">
        <v>219</v>
      </c>
      <c r="AB4" s="125" t="s">
        <v>220</v>
      </c>
      <c r="AC4" s="125" t="s">
        <v>221</v>
      </c>
      <c r="AD4" s="125" t="s">
        <v>222</v>
      </c>
      <c r="AF4" s="35" t="s">
        <v>518</v>
      </c>
      <c r="AG4" s="35" t="s">
        <v>451</v>
      </c>
      <c r="AH4" s="35" t="s">
        <v>452</v>
      </c>
      <c r="AI4" s="35" t="s">
        <v>402</v>
      </c>
      <c r="AJ4" s="35" t="s">
        <v>451</v>
      </c>
      <c r="AK4" s="35" t="s">
        <v>452</v>
      </c>
      <c r="AL4" s="35" t="s">
        <v>402</v>
      </c>
      <c r="AM4" s="35" t="s">
        <v>451</v>
      </c>
      <c r="AN4" s="35" t="s">
        <v>452</v>
      </c>
      <c r="AO4" s="121"/>
      <c r="AP4" s="712"/>
      <c r="AQ4" s="713"/>
      <c r="AR4" s="714"/>
      <c r="AS4" s="716"/>
    </row>
    <row r="5" spans="1:45" ht="15.75" x14ac:dyDescent="0.25">
      <c r="A5" s="9">
        <v>10050</v>
      </c>
      <c r="B5" s="9" t="s">
        <v>71</v>
      </c>
      <c r="C5" s="9" t="s">
        <v>66</v>
      </c>
      <c r="D5" s="29" t="s">
        <v>1</v>
      </c>
      <c r="E5" s="126"/>
      <c r="F5" s="127">
        <f>'App 4 - Recyclables'!V6</f>
        <v>10014.33</v>
      </c>
      <c r="G5" s="127">
        <f>'App 4 - Recyclables'!W6</f>
        <v>9655.2900000000009</v>
      </c>
      <c r="H5" s="127">
        <f>'App 4 - Recyclables'!X6</f>
        <v>359.04</v>
      </c>
      <c r="I5" s="127">
        <f>'App 5 - Organics'!V5</f>
        <v>19779.89</v>
      </c>
      <c r="J5" s="127">
        <f>'App 5 - Organics'!W5</f>
        <v>19764.449999999997</v>
      </c>
      <c r="K5" s="127">
        <f>'App 5 - Organics'!X5</f>
        <v>15.44</v>
      </c>
      <c r="L5" s="128">
        <f>'App 6 - Residual Waste'!AC5</f>
        <v>10619.15</v>
      </c>
      <c r="M5" s="128">
        <f>'App 6 - Residual Waste'!AD5</f>
        <v>148.42999999999984</v>
      </c>
      <c r="N5" s="128">
        <f>'App 6 - Residual Waste'!AE5</f>
        <v>10470.720000000001</v>
      </c>
      <c r="O5" s="121"/>
      <c r="P5" s="128">
        <f t="shared" ref="P5:R36" si="0">F5+I5+L5</f>
        <v>40413.370000000003</v>
      </c>
      <c r="Q5" s="128">
        <f t="shared" si="0"/>
        <v>29568.17</v>
      </c>
      <c r="R5" s="128">
        <f t="shared" si="0"/>
        <v>10845.2</v>
      </c>
      <c r="S5" s="129">
        <f t="shared" ref="S5:S68" si="1">Q5/P5</f>
        <v>0.73164326558265236</v>
      </c>
      <c r="U5" s="130">
        <f>(P5*1000)/'App 1 - Services'!F5/52</f>
        <v>13.512182351438572</v>
      </c>
      <c r="V5" s="130">
        <f>(P5*1000)/'App 1 - Services'!G5/52</f>
        <v>28.974394821895103</v>
      </c>
      <c r="X5" s="131">
        <f t="shared" ref="X5:X68" si="2">S5</f>
        <v>0.73164326558265236</v>
      </c>
      <c r="Y5" s="132">
        <f t="shared" ref="Y5:Y68" si="3">F5</f>
        <v>10014.33</v>
      </c>
      <c r="Z5" s="133">
        <f t="shared" ref="Z5:Z68" si="4">Y5/P5</f>
        <v>0.2477974492104964</v>
      </c>
      <c r="AA5" s="132">
        <f t="shared" ref="AA5:AA68" si="5">I5</f>
        <v>19779.89</v>
      </c>
      <c r="AB5" s="133">
        <f t="shared" ref="AB5:AB68" si="6">AA5/P5</f>
        <v>0.48943926230353962</v>
      </c>
      <c r="AC5" s="132">
        <f t="shared" ref="AC5:AC68" si="7">L5</f>
        <v>10619.15</v>
      </c>
      <c r="AD5" s="133">
        <f t="shared" ref="AD5:AD68" si="8">AC5/P5</f>
        <v>0.26276328848596392</v>
      </c>
      <c r="AF5" s="127">
        <f>'App 4 - Recyclables'!V6+'App 4 - Recyclables'!AB6</f>
        <v>10014.33</v>
      </c>
      <c r="AG5" s="127">
        <f>'App 4 - Recyclables'!W6+'App 4 - Recyclables'!AC6</f>
        <v>9655.2900000000009</v>
      </c>
      <c r="AH5" s="127">
        <f>'App 4 - Recyclables'!X6+'App 4 - Recyclables'!AD6</f>
        <v>359.04</v>
      </c>
      <c r="AI5" s="127">
        <f>'App 5 - Organics'!V5+'App 5 - Organics'!AD5</f>
        <v>20912.309999999998</v>
      </c>
      <c r="AJ5" s="127">
        <f>'App 5 - Organics'!W5+'App 5 - Organics'!AE5</f>
        <v>20896.869999999995</v>
      </c>
      <c r="AK5" s="127">
        <f>'App 5 - Organics'!X5+'App 5 - Organics'!AF5</f>
        <v>15.44</v>
      </c>
      <c r="AL5" s="128">
        <f>'App 6 - Residual Waste'!AC5+'App 6 - Residual Waste'!AI5</f>
        <v>12880.39</v>
      </c>
      <c r="AM5" s="128">
        <f>'App 6 - Residual Waste'!AD5+'App 6 - Residual Waste'!AJ5</f>
        <v>148.42999999999984</v>
      </c>
      <c r="AN5" s="128">
        <f>'App 6 - Residual Waste'!AE5+'App 6 - Residual Waste'!AK5</f>
        <v>12731.960000000001</v>
      </c>
      <c r="AO5" s="121"/>
      <c r="AP5" s="128">
        <f>AF5+AI5+AL5</f>
        <v>43807.03</v>
      </c>
      <c r="AQ5" s="128">
        <f t="shared" ref="AQ5:AR5" si="9">AG5+AJ5+AM5</f>
        <v>30700.589999999997</v>
      </c>
      <c r="AR5" s="128">
        <f t="shared" si="9"/>
        <v>13106.44</v>
      </c>
      <c r="AS5" s="129">
        <f>AQ5/AP5</f>
        <v>0.70081423004481236</v>
      </c>
    </row>
    <row r="6" spans="1:45" ht="15.75" x14ac:dyDescent="0.25">
      <c r="A6" s="8">
        <v>10180</v>
      </c>
      <c r="B6" s="8" t="s">
        <v>72</v>
      </c>
      <c r="C6" s="8" t="s">
        <v>16</v>
      </c>
      <c r="D6" s="29" t="s">
        <v>1</v>
      </c>
      <c r="E6" s="126"/>
      <c r="F6" s="127">
        <f>'App 4 - Recyclables'!V7</f>
        <v>3687.04</v>
      </c>
      <c r="G6" s="127">
        <f>'App 4 - Recyclables'!W7</f>
        <v>3635.04</v>
      </c>
      <c r="H6" s="127">
        <f>'App 4 - Recyclables'!X7</f>
        <v>52</v>
      </c>
      <c r="I6" s="127">
        <f>'App 5 - Organics'!V6</f>
        <v>3173</v>
      </c>
      <c r="J6" s="127">
        <f>'App 5 - Organics'!W6</f>
        <v>3163</v>
      </c>
      <c r="K6" s="127">
        <f>'App 5 - Organics'!X6</f>
        <v>10</v>
      </c>
      <c r="L6" s="128">
        <f>'App 6 - Residual Waste'!AC6</f>
        <v>10443</v>
      </c>
      <c r="M6" s="128">
        <f>'App 6 - Residual Waste'!AD6</f>
        <v>770</v>
      </c>
      <c r="N6" s="128">
        <f>'App 6 - Residual Waste'!AE6</f>
        <v>9673</v>
      </c>
      <c r="O6" s="121"/>
      <c r="P6" s="128">
        <f t="shared" si="0"/>
        <v>17303.04</v>
      </c>
      <c r="Q6" s="128">
        <f t="shared" si="0"/>
        <v>7568.04</v>
      </c>
      <c r="R6" s="128">
        <f t="shared" si="0"/>
        <v>9735</v>
      </c>
      <c r="S6" s="129">
        <f t="shared" si="1"/>
        <v>0.43738210164225477</v>
      </c>
      <c r="U6" s="130">
        <f>(P6*1000)/'App 1 - Services'!F6/52</f>
        <v>11.243859202229142</v>
      </c>
      <c r="V6" s="130">
        <f>(P6*1000)/'App 1 - Services'!G6/52</f>
        <v>25.463021826658192</v>
      </c>
      <c r="X6" s="131">
        <f t="shared" si="2"/>
        <v>0.43738210164225477</v>
      </c>
      <c r="Y6" s="132">
        <f t="shared" si="3"/>
        <v>3687.04</v>
      </c>
      <c r="Z6" s="133">
        <f t="shared" si="4"/>
        <v>0.2130862553632194</v>
      </c>
      <c r="AA6" s="132">
        <f t="shared" si="5"/>
        <v>3173</v>
      </c>
      <c r="AB6" s="133">
        <f t="shared" si="6"/>
        <v>0.18337818094392661</v>
      </c>
      <c r="AC6" s="132">
        <f t="shared" si="7"/>
        <v>10443</v>
      </c>
      <c r="AD6" s="133">
        <f t="shared" si="8"/>
        <v>0.60353556369285399</v>
      </c>
      <c r="AF6" s="127">
        <f>'App 4 - Recyclables'!V7+'App 4 - Recyclables'!AB7</f>
        <v>3687.04</v>
      </c>
      <c r="AG6" s="127">
        <f>'App 4 - Recyclables'!W7+'App 4 - Recyclables'!AC7</f>
        <v>3635.04</v>
      </c>
      <c r="AH6" s="127">
        <f>'App 4 - Recyclables'!X7+'App 4 - Recyclables'!AD7</f>
        <v>52</v>
      </c>
      <c r="AI6" s="127">
        <f>'App 5 - Organics'!V6+'App 5 - Organics'!AD6</f>
        <v>3678</v>
      </c>
      <c r="AJ6" s="127">
        <f>'App 5 - Organics'!W6+'App 5 - Organics'!AE6</f>
        <v>3668</v>
      </c>
      <c r="AK6" s="127">
        <f>'App 5 - Organics'!X6+'App 5 - Organics'!AF6</f>
        <v>10</v>
      </c>
      <c r="AL6" s="128">
        <f>'App 6 - Residual Waste'!AC6+'App 6 - Residual Waste'!AI6</f>
        <v>10493</v>
      </c>
      <c r="AM6" s="128">
        <f>'App 6 - Residual Waste'!AD6+'App 6 - Residual Waste'!AJ6</f>
        <v>770</v>
      </c>
      <c r="AN6" s="128">
        <f>'App 6 - Residual Waste'!AE6+'App 6 - Residual Waste'!AK6</f>
        <v>9723</v>
      </c>
      <c r="AO6" s="121"/>
      <c r="AP6" s="128">
        <f t="shared" ref="AP6:AP69" si="10">AF6+AI6+AL6</f>
        <v>17858.04</v>
      </c>
      <c r="AQ6" s="128">
        <f t="shared" ref="AQ6:AQ69" si="11">AG6+AJ6+AM6</f>
        <v>8073.04</v>
      </c>
      <c r="AR6" s="128">
        <f t="shared" ref="AR6:AR69" si="12">AH6+AK6+AN6</f>
        <v>9785</v>
      </c>
      <c r="AS6" s="129">
        <f t="shared" ref="AS6:AS69" si="13">AQ6/AP6</f>
        <v>0.45206752812738688</v>
      </c>
    </row>
    <row r="7" spans="1:45" ht="15.75" x14ac:dyDescent="0.25">
      <c r="A7" s="8">
        <v>10250</v>
      </c>
      <c r="B7" s="8" t="s">
        <v>73</v>
      </c>
      <c r="C7" s="8" t="s">
        <v>19</v>
      </c>
      <c r="D7" s="29" t="s">
        <v>3</v>
      </c>
      <c r="E7" s="126"/>
      <c r="F7" s="127">
        <f>'App 4 - Recyclables'!V8</f>
        <v>6743.01</v>
      </c>
      <c r="G7" s="127">
        <f>'App 4 - Recyclables'!W8</f>
        <v>6326.01</v>
      </c>
      <c r="H7" s="127">
        <f>'App 4 - Recyclables'!X8</f>
        <v>417</v>
      </c>
      <c r="I7" s="127">
        <f>'App 5 - Organics'!V7</f>
        <v>8495</v>
      </c>
      <c r="J7" s="127">
        <f>'App 5 - Organics'!W7</f>
        <v>8395</v>
      </c>
      <c r="K7" s="127">
        <f>'App 5 - Organics'!X7</f>
        <v>100</v>
      </c>
      <c r="L7" s="128">
        <f>'App 6 - Residual Waste'!AC7</f>
        <v>11390.36</v>
      </c>
      <c r="M7" s="128">
        <f>'App 6 - Residual Waste'!AD7</f>
        <v>60.360000000000127</v>
      </c>
      <c r="N7" s="128">
        <f>'App 6 - Residual Waste'!AE7</f>
        <v>11330</v>
      </c>
      <c r="O7" s="121"/>
      <c r="P7" s="128">
        <f t="shared" si="0"/>
        <v>26628.370000000003</v>
      </c>
      <c r="Q7" s="128">
        <f t="shared" si="0"/>
        <v>14781.37</v>
      </c>
      <c r="R7" s="128">
        <f t="shared" si="0"/>
        <v>11847</v>
      </c>
      <c r="S7" s="129">
        <f t="shared" si="1"/>
        <v>0.55509856592799334</v>
      </c>
      <c r="U7" s="130">
        <f>(P7*1000)/'App 1 - Services'!F7/52</f>
        <v>10.831109762506369</v>
      </c>
      <c r="V7" s="130">
        <f>(P7*1000)/'App 1 - Services'!G7/52</f>
        <v>24.401221693583274</v>
      </c>
      <c r="X7" s="131">
        <f t="shared" si="2"/>
        <v>0.55509856592799334</v>
      </c>
      <c r="Y7" s="132">
        <f t="shared" si="3"/>
        <v>6743.01</v>
      </c>
      <c r="Z7" s="133">
        <f t="shared" si="4"/>
        <v>0.25322653996470679</v>
      </c>
      <c r="AA7" s="132">
        <f t="shared" si="5"/>
        <v>8495</v>
      </c>
      <c r="AB7" s="133">
        <f t="shared" si="6"/>
        <v>0.31902065353605946</v>
      </c>
      <c r="AC7" s="132">
        <f t="shared" si="7"/>
        <v>11390.36</v>
      </c>
      <c r="AD7" s="133">
        <f t="shared" si="8"/>
        <v>0.4277528064992337</v>
      </c>
      <c r="AF7" s="127">
        <f>'App 4 - Recyclables'!V8+'App 4 - Recyclables'!AB8</f>
        <v>6744.01</v>
      </c>
      <c r="AG7" s="127">
        <f>'App 4 - Recyclables'!W8+'App 4 - Recyclables'!AC8</f>
        <v>6327.01</v>
      </c>
      <c r="AH7" s="127">
        <f>'App 4 - Recyclables'!X8+'App 4 - Recyclables'!AD8</f>
        <v>417</v>
      </c>
      <c r="AI7" s="127">
        <f>'App 5 - Organics'!V7+'App 5 - Organics'!AD7</f>
        <v>8881</v>
      </c>
      <c r="AJ7" s="127">
        <f>'App 5 - Organics'!W7+'App 5 - Organics'!AE7</f>
        <v>8781</v>
      </c>
      <c r="AK7" s="127">
        <f>'App 5 - Organics'!X7+'App 5 - Organics'!AF7</f>
        <v>100</v>
      </c>
      <c r="AL7" s="128">
        <f>'App 6 - Residual Waste'!AC7+'App 6 - Residual Waste'!AI7</f>
        <v>12575.36</v>
      </c>
      <c r="AM7" s="128">
        <f>'App 6 - Residual Waste'!AD7+'App 6 - Residual Waste'!AJ7</f>
        <v>60.360000000000127</v>
      </c>
      <c r="AN7" s="128">
        <f>'App 6 - Residual Waste'!AE7+'App 6 - Residual Waste'!AK7</f>
        <v>12515</v>
      </c>
      <c r="AO7" s="121"/>
      <c r="AP7" s="128">
        <f t="shared" si="10"/>
        <v>28200.370000000003</v>
      </c>
      <c r="AQ7" s="128">
        <f t="shared" si="11"/>
        <v>15168.37</v>
      </c>
      <c r="AR7" s="128">
        <f t="shared" si="12"/>
        <v>13032</v>
      </c>
      <c r="AS7" s="129">
        <f t="shared" si="13"/>
        <v>0.53787840372307172</v>
      </c>
    </row>
    <row r="8" spans="1:45" ht="15.75" x14ac:dyDescent="0.25">
      <c r="A8" s="8">
        <v>10300</v>
      </c>
      <c r="B8" s="8" t="s">
        <v>74</v>
      </c>
      <c r="C8" s="8" t="s">
        <v>66</v>
      </c>
      <c r="D8" s="29" t="s">
        <v>1</v>
      </c>
      <c r="E8" s="126"/>
      <c r="F8" s="127">
        <f>'App 4 - Recyclables'!V9</f>
        <v>32.880000000000003</v>
      </c>
      <c r="G8" s="127">
        <f>'App 4 - Recyclables'!W9</f>
        <v>32.880000000000003</v>
      </c>
      <c r="H8" s="127">
        <f>'App 4 - Recyclables'!X9</f>
        <v>0</v>
      </c>
      <c r="I8" s="127">
        <f>'App 5 - Organics'!V8</f>
        <v>0</v>
      </c>
      <c r="J8" s="127">
        <f>'App 5 - Organics'!W8</f>
        <v>0</v>
      </c>
      <c r="K8" s="127">
        <f>'App 5 - Organics'!X8</f>
        <v>0</v>
      </c>
      <c r="L8" s="128">
        <f>'App 6 - Residual Waste'!AC8</f>
        <v>350</v>
      </c>
      <c r="M8" s="128">
        <f>'App 6 - Residual Waste'!AD8</f>
        <v>0</v>
      </c>
      <c r="N8" s="128">
        <f>'App 6 - Residual Waste'!AE8</f>
        <v>350</v>
      </c>
      <c r="O8" s="121"/>
      <c r="P8" s="128">
        <f t="shared" si="0"/>
        <v>382.88</v>
      </c>
      <c r="Q8" s="128">
        <f t="shared" si="0"/>
        <v>32.880000000000003</v>
      </c>
      <c r="R8" s="128">
        <f t="shared" si="0"/>
        <v>350</v>
      </c>
      <c r="S8" s="129">
        <f t="shared" si="1"/>
        <v>8.5875470121186806E-2</v>
      </c>
      <c r="U8" s="130">
        <f>(P8*1000)/'App 1 - Services'!F8/52</f>
        <v>3.3438133165653601</v>
      </c>
      <c r="V8" s="130">
        <f>(P8*1000)/'App 1 - Services'!G8/52</f>
        <v>4.4597679727903836</v>
      </c>
      <c r="X8" s="131">
        <f t="shared" si="2"/>
        <v>8.5875470121186806E-2</v>
      </c>
      <c r="Y8" s="132">
        <f t="shared" si="3"/>
        <v>32.880000000000003</v>
      </c>
      <c r="Z8" s="133">
        <f t="shared" si="4"/>
        <v>8.5875470121186806E-2</v>
      </c>
      <c r="AA8" s="132">
        <f t="shared" si="5"/>
        <v>0</v>
      </c>
      <c r="AB8" s="133">
        <f t="shared" si="6"/>
        <v>0</v>
      </c>
      <c r="AC8" s="132">
        <f t="shared" si="7"/>
        <v>350</v>
      </c>
      <c r="AD8" s="133">
        <f t="shared" si="8"/>
        <v>0.91412452987881321</v>
      </c>
      <c r="AF8" s="127">
        <f>'App 4 - Recyclables'!V9+'App 4 - Recyclables'!AB9</f>
        <v>32.880000000000003</v>
      </c>
      <c r="AG8" s="127">
        <f>'App 4 - Recyclables'!W9+'App 4 - Recyclables'!AC9</f>
        <v>32.880000000000003</v>
      </c>
      <c r="AH8" s="127">
        <f>'App 4 - Recyclables'!X9+'App 4 - Recyclables'!AD9</f>
        <v>0</v>
      </c>
      <c r="AI8" s="127">
        <f>'App 5 - Organics'!V8+'App 5 - Organics'!AD8</f>
        <v>0</v>
      </c>
      <c r="AJ8" s="127">
        <f>'App 5 - Organics'!W8+'App 5 - Organics'!AE8</f>
        <v>0</v>
      </c>
      <c r="AK8" s="127">
        <f>'App 5 - Organics'!X8+'App 5 - Organics'!AF8</f>
        <v>0</v>
      </c>
      <c r="AL8" s="128">
        <f>'App 6 - Residual Waste'!AC8+'App 6 - Residual Waste'!AI8</f>
        <v>350</v>
      </c>
      <c r="AM8" s="128">
        <f>'App 6 - Residual Waste'!AD8+'App 6 - Residual Waste'!AJ8</f>
        <v>0</v>
      </c>
      <c r="AN8" s="128">
        <f>'App 6 - Residual Waste'!AE8+'App 6 - Residual Waste'!AK8</f>
        <v>350</v>
      </c>
      <c r="AO8" s="121"/>
      <c r="AP8" s="128">
        <f t="shared" si="10"/>
        <v>382.88</v>
      </c>
      <c r="AQ8" s="128">
        <f t="shared" si="11"/>
        <v>32.880000000000003</v>
      </c>
      <c r="AR8" s="128">
        <f t="shared" si="12"/>
        <v>350</v>
      </c>
      <c r="AS8" s="129">
        <f t="shared" si="13"/>
        <v>8.5875470121186806E-2</v>
      </c>
    </row>
    <row r="9" spans="1:45" ht="15.75" x14ac:dyDescent="0.25">
      <c r="A9" s="8">
        <v>10470</v>
      </c>
      <c r="B9" s="8" t="s">
        <v>75</v>
      </c>
      <c r="C9" s="8" t="s">
        <v>38</v>
      </c>
      <c r="D9" s="29" t="s">
        <v>1</v>
      </c>
      <c r="E9" s="126"/>
      <c r="F9" s="127">
        <f>'App 4 - Recyclables'!V10</f>
        <v>5175.68</v>
      </c>
      <c r="G9" s="127">
        <f>'App 4 - Recyclables'!W10</f>
        <v>4953.68</v>
      </c>
      <c r="H9" s="127">
        <f>'App 4 - Recyclables'!X10</f>
        <v>222</v>
      </c>
      <c r="I9" s="127">
        <f>'App 5 - Organics'!V9</f>
        <v>6231.35</v>
      </c>
      <c r="J9" s="127">
        <f>'App 5 - Organics'!W9</f>
        <v>6231.35</v>
      </c>
      <c r="K9" s="127">
        <f>'App 5 - Organics'!X9</f>
        <v>0</v>
      </c>
      <c r="L9" s="128">
        <f>'App 6 - Residual Waste'!AC9</f>
        <v>10154</v>
      </c>
      <c r="M9" s="128">
        <f>'App 6 - Residual Waste'!AD9</f>
        <v>0</v>
      </c>
      <c r="N9" s="128">
        <f>'App 6 - Residual Waste'!AE9</f>
        <v>10154</v>
      </c>
      <c r="O9" s="121"/>
      <c r="P9" s="128">
        <f t="shared" si="0"/>
        <v>21561.03</v>
      </c>
      <c r="Q9" s="128">
        <f t="shared" si="0"/>
        <v>11185.03</v>
      </c>
      <c r="R9" s="128">
        <f t="shared" si="0"/>
        <v>10376</v>
      </c>
      <c r="S9" s="129">
        <f t="shared" si="1"/>
        <v>0.51876139497973894</v>
      </c>
      <c r="U9" s="130">
        <f>(P9*1000)/'App 1 - Services'!F9/52</f>
        <v>9.2942524950168632</v>
      </c>
      <c r="V9" s="130">
        <f>(P9*1000)/'App 1 - Services'!G9/52</f>
        <v>20.375193725193729</v>
      </c>
      <c r="X9" s="131">
        <f t="shared" si="2"/>
        <v>0.51876139497973894</v>
      </c>
      <c r="Y9" s="132">
        <f t="shared" si="3"/>
        <v>5175.68</v>
      </c>
      <c r="Z9" s="133">
        <f t="shared" si="4"/>
        <v>0.24004790123662925</v>
      </c>
      <c r="AA9" s="132">
        <f t="shared" si="5"/>
        <v>6231.35</v>
      </c>
      <c r="AB9" s="133">
        <f t="shared" si="6"/>
        <v>0.28900984785977296</v>
      </c>
      <c r="AC9" s="132">
        <f t="shared" si="7"/>
        <v>10154</v>
      </c>
      <c r="AD9" s="133">
        <f t="shared" si="8"/>
        <v>0.47094225090359787</v>
      </c>
      <c r="AF9" s="127">
        <f>'App 4 - Recyclables'!V10+'App 4 - Recyclables'!AB10</f>
        <v>5409.2300000000005</v>
      </c>
      <c r="AG9" s="127">
        <f>'App 4 - Recyclables'!W10+'App 4 - Recyclables'!AC10</f>
        <v>5187.2300000000005</v>
      </c>
      <c r="AH9" s="127">
        <f>'App 4 - Recyclables'!X10+'App 4 - Recyclables'!AD10</f>
        <v>222</v>
      </c>
      <c r="AI9" s="127">
        <f>'App 5 - Organics'!V9+'App 5 - Organics'!AD9</f>
        <v>6807.81</v>
      </c>
      <c r="AJ9" s="127">
        <f>'App 5 - Organics'!W9+'App 5 - Organics'!AE9</f>
        <v>6807.81</v>
      </c>
      <c r="AK9" s="127">
        <f>'App 5 - Organics'!X9+'App 5 - Organics'!AF9</f>
        <v>0</v>
      </c>
      <c r="AL9" s="128">
        <f>'App 6 - Residual Waste'!AC9+'App 6 - Residual Waste'!AI9</f>
        <v>30305.63</v>
      </c>
      <c r="AM9" s="128">
        <f>'App 6 - Residual Waste'!AD9+'App 6 - Residual Waste'!AJ9</f>
        <v>233.59000000000015</v>
      </c>
      <c r="AN9" s="128">
        <f>'App 6 - Residual Waste'!AE9+'App 6 - Residual Waste'!AK9</f>
        <v>30072.04</v>
      </c>
      <c r="AO9" s="121"/>
      <c r="AP9" s="128">
        <f t="shared" si="10"/>
        <v>42522.67</v>
      </c>
      <c r="AQ9" s="128">
        <f t="shared" si="11"/>
        <v>12228.630000000001</v>
      </c>
      <c r="AR9" s="128">
        <f t="shared" si="12"/>
        <v>30294.04</v>
      </c>
      <c r="AS9" s="129">
        <f t="shared" si="13"/>
        <v>0.28757907252766585</v>
      </c>
    </row>
    <row r="10" spans="1:45" ht="15.75" x14ac:dyDescent="0.25">
      <c r="A10" s="8">
        <v>10500</v>
      </c>
      <c r="B10" s="8" t="s">
        <v>405</v>
      </c>
      <c r="C10" s="8" t="s">
        <v>17</v>
      </c>
      <c r="D10" s="29" t="s">
        <v>2</v>
      </c>
      <c r="E10" s="126"/>
      <c r="F10" s="127">
        <f>'App 4 - Recyclables'!V11</f>
        <v>14324.710000000001</v>
      </c>
      <c r="G10" s="127">
        <f>'App 4 - Recyclables'!W11</f>
        <v>12625.3</v>
      </c>
      <c r="H10" s="127">
        <f>'App 4 - Recyclables'!X11</f>
        <v>1699.41</v>
      </c>
      <c r="I10" s="127">
        <f>'App 5 - Organics'!V10</f>
        <v>2117.16</v>
      </c>
      <c r="J10" s="127">
        <f>'App 5 - Organics'!W10</f>
        <v>2074.62</v>
      </c>
      <c r="K10" s="127">
        <f>'App 5 - Organics'!X10</f>
        <v>42.54</v>
      </c>
      <c r="L10" s="128">
        <f>'App 6 - Residual Waste'!AC10</f>
        <v>50099.18</v>
      </c>
      <c r="M10" s="128">
        <f>'App 6 - Residual Waste'!AD10</f>
        <v>20115.669999999998</v>
      </c>
      <c r="N10" s="128">
        <f>'App 6 - Residual Waste'!AE10</f>
        <v>29983.51</v>
      </c>
      <c r="O10" s="121"/>
      <c r="P10" s="128">
        <f t="shared" si="0"/>
        <v>66541.05</v>
      </c>
      <c r="Q10" s="128">
        <f t="shared" si="0"/>
        <v>34815.589999999997</v>
      </c>
      <c r="R10" s="128">
        <f t="shared" si="0"/>
        <v>31725.46</v>
      </c>
      <c r="S10" s="129">
        <f t="shared" si="1"/>
        <v>0.52321972677016659</v>
      </c>
      <c r="U10" s="130">
        <f>(P10*1000)/'App 1 - Services'!F10/52</f>
        <v>6.9930409095896255</v>
      </c>
      <c r="V10" s="130">
        <f>(P10*1000)/'App 1 - Services'!G10/52</f>
        <v>18.831463046313235</v>
      </c>
      <c r="X10" s="131">
        <f t="shared" si="2"/>
        <v>0.52321972677016659</v>
      </c>
      <c r="Y10" s="132">
        <f t="shared" si="3"/>
        <v>14324.710000000001</v>
      </c>
      <c r="Z10" s="133">
        <f t="shared" si="4"/>
        <v>0.21527628433876533</v>
      </c>
      <c r="AA10" s="132">
        <f t="shared" si="5"/>
        <v>2117.16</v>
      </c>
      <c r="AB10" s="133">
        <f t="shared" si="6"/>
        <v>3.1817351845214344E-2</v>
      </c>
      <c r="AC10" s="132">
        <f t="shared" si="7"/>
        <v>50099.18</v>
      </c>
      <c r="AD10" s="133">
        <f t="shared" si="8"/>
        <v>0.75290636381602027</v>
      </c>
      <c r="AF10" s="127">
        <f>'App 4 - Recyclables'!V11+'App 4 - Recyclables'!AB11</f>
        <v>14324.710000000001</v>
      </c>
      <c r="AG10" s="127">
        <f>'App 4 - Recyclables'!W11+'App 4 - Recyclables'!AC11</f>
        <v>12625.3</v>
      </c>
      <c r="AH10" s="127">
        <f>'App 4 - Recyclables'!X11+'App 4 - Recyclables'!AD11</f>
        <v>1699.41</v>
      </c>
      <c r="AI10" s="127">
        <f>'App 5 - Organics'!V10+'App 5 - Organics'!AD10</f>
        <v>2117.16</v>
      </c>
      <c r="AJ10" s="127">
        <f>'App 5 - Organics'!W10+'App 5 - Organics'!AE10</f>
        <v>2074.62</v>
      </c>
      <c r="AK10" s="127">
        <f>'App 5 - Organics'!X10+'App 5 - Organics'!AF10</f>
        <v>42.54</v>
      </c>
      <c r="AL10" s="128">
        <f>'App 6 - Residual Waste'!AC10+'App 6 - Residual Waste'!AI10</f>
        <v>50099.18</v>
      </c>
      <c r="AM10" s="128">
        <f>'App 6 - Residual Waste'!AD10+'App 6 - Residual Waste'!AJ10</f>
        <v>20115.669999999998</v>
      </c>
      <c r="AN10" s="128">
        <f>'App 6 - Residual Waste'!AE10+'App 6 - Residual Waste'!AK10</f>
        <v>29983.51</v>
      </c>
      <c r="AO10" s="121"/>
      <c r="AP10" s="128">
        <f t="shared" si="10"/>
        <v>66541.05</v>
      </c>
      <c r="AQ10" s="128">
        <f t="shared" si="11"/>
        <v>34815.589999999997</v>
      </c>
      <c r="AR10" s="128">
        <f t="shared" si="12"/>
        <v>31725.46</v>
      </c>
      <c r="AS10" s="129">
        <f t="shared" si="13"/>
        <v>0.52321972677016659</v>
      </c>
    </row>
    <row r="11" spans="1:45" ht="15.75" x14ac:dyDescent="0.25">
      <c r="A11" s="8">
        <v>10550</v>
      </c>
      <c r="B11" s="8" t="s">
        <v>76</v>
      </c>
      <c r="C11" s="8" t="s">
        <v>67</v>
      </c>
      <c r="D11" s="29" t="s">
        <v>1</v>
      </c>
      <c r="E11" s="126"/>
      <c r="F11" s="127">
        <f>'App 4 - Recyclables'!V12</f>
        <v>7171.6</v>
      </c>
      <c r="G11" s="127">
        <f>'App 4 - Recyclables'!W12</f>
        <v>6770.6</v>
      </c>
      <c r="H11" s="127">
        <f>'App 4 - Recyclables'!X12</f>
        <v>401</v>
      </c>
      <c r="I11" s="127">
        <f>'App 5 - Organics'!V11</f>
        <v>9570</v>
      </c>
      <c r="J11" s="127">
        <f>'App 5 - Organics'!W11</f>
        <v>8286.67</v>
      </c>
      <c r="K11" s="127">
        <f>'App 5 - Organics'!X11</f>
        <v>1283.33</v>
      </c>
      <c r="L11" s="128">
        <f>'App 6 - Residual Waste'!AC11</f>
        <v>19531</v>
      </c>
      <c r="M11" s="128">
        <f>'App 6 - Residual Waste'!AD11</f>
        <v>1371</v>
      </c>
      <c r="N11" s="128">
        <f>'App 6 - Residual Waste'!AE11</f>
        <v>18160</v>
      </c>
      <c r="O11" s="121"/>
      <c r="P11" s="128">
        <f t="shared" si="0"/>
        <v>36272.6</v>
      </c>
      <c r="Q11" s="128">
        <f t="shared" si="0"/>
        <v>16428.27</v>
      </c>
      <c r="R11" s="128">
        <f t="shared" si="0"/>
        <v>19844.330000000002</v>
      </c>
      <c r="S11" s="129">
        <f t="shared" si="1"/>
        <v>0.4529112884105358</v>
      </c>
      <c r="U11" s="130">
        <f>(P11*1000)/'App 1 - Services'!F11/52</f>
        <v>19.227376719314204</v>
      </c>
      <c r="V11" s="130">
        <f>(P11*1000)/'App 1 - Services'!G11/52</f>
        <v>36.966083730789613</v>
      </c>
      <c r="X11" s="131">
        <f t="shared" si="2"/>
        <v>0.4529112884105358</v>
      </c>
      <c r="Y11" s="132">
        <f t="shared" si="3"/>
        <v>7171.6</v>
      </c>
      <c r="Z11" s="133">
        <f t="shared" si="4"/>
        <v>0.19771397694127249</v>
      </c>
      <c r="AA11" s="132">
        <f t="shared" si="5"/>
        <v>9570</v>
      </c>
      <c r="AB11" s="133">
        <f t="shared" si="6"/>
        <v>0.26383551220480472</v>
      </c>
      <c r="AC11" s="132">
        <f t="shared" si="7"/>
        <v>19531</v>
      </c>
      <c r="AD11" s="133">
        <f t="shared" si="8"/>
        <v>0.53845051085392281</v>
      </c>
      <c r="AF11" s="127">
        <f>'App 4 - Recyclables'!V12+'App 4 - Recyclables'!AB12</f>
        <v>7171.6</v>
      </c>
      <c r="AG11" s="127">
        <f>'App 4 - Recyclables'!W12+'App 4 - Recyclables'!AC12</f>
        <v>6770.6</v>
      </c>
      <c r="AH11" s="127">
        <f>'App 4 - Recyclables'!X12+'App 4 - Recyclables'!AD12</f>
        <v>401</v>
      </c>
      <c r="AI11" s="127">
        <f>'App 5 - Organics'!V11+'App 5 - Organics'!AD11</f>
        <v>9570</v>
      </c>
      <c r="AJ11" s="127">
        <f>'App 5 - Organics'!W11+'App 5 - Organics'!AE11</f>
        <v>8286.67</v>
      </c>
      <c r="AK11" s="127">
        <f>'App 5 - Organics'!X11+'App 5 - Organics'!AF11</f>
        <v>1283.33</v>
      </c>
      <c r="AL11" s="128">
        <f>'App 6 - Residual Waste'!AC11+'App 6 - Residual Waste'!AI11</f>
        <v>19795</v>
      </c>
      <c r="AM11" s="128">
        <f>'App 6 - Residual Waste'!AD11+'App 6 - Residual Waste'!AJ11</f>
        <v>1371</v>
      </c>
      <c r="AN11" s="128">
        <f>'App 6 - Residual Waste'!AE11+'App 6 - Residual Waste'!AK11</f>
        <v>18424</v>
      </c>
      <c r="AO11" s="121"/>
      <c r="AP11" s="128">
        <f t="shared" si="10"/>
        <v>36536.6</v>
      </c>
      <c r="AQ11" s="128">
        <f t="shared" si="11"/>
        <v>16428.27</v>
      </c>
      <c r="AR11" s="128">
        <f t="shared" si="12"/>
        <v>20108.330000000002</v>
      </c>
      <c r="AS11" s="129">
        <f t="shared" si="13"/>
        <v>0.44963871843576031</v>
      </c>
    </row>
    <row r="12" spans="1:45" ht="15.75" x14ac:dyDescent="0.25">
      <c r="A12" s="8">
        <v>10600</v>
      </c>
      <c r="B12" s="8" t="s">
        <v>44</v>
      </c>
      <c r="C12" s="8" t="s">
        <v>39</v>
      </c>
      <c r="D12" s="29" t="s">
        <v>3</v>
      </c>
      <c r="E12" s="126"/>
      <c r="F12" s="127">
        <f>'App 4 - Recyclables'!V13</f>
        <v>1682.73</v>
      </c>
      <c r="G12" s="127">
        <f>'App 4 - Recyclables'!W13</f>
        <v>1567.33</v>
      </c>
      <c r="H12" s="127">
        <f>'App 4 - Recyclables'!X13</f>
        <v>115.4</v>
      </c>
      <c r="I12" s="127">
        <f>'App 5 - Organics'!V12</f>
        <v>2365.6</v>
      </c>
      <c r="J12" s="127">
        <f>'App 5 - Organics'!W12</f>
        <v>2345.2399999999998</v>
      </c>
      <c r="K12" s="127">
        <f>'App 5 - Organics'!X12</f>
        <v>20.36</v>
      </c>
      <c r="L12" s="128">
        <f>'App 6 - Residual Waste'!AC12</f>
        <v>2040.04</v>
      </c>
      <c r="M12" s="128">
        <f>'App 6 - Residual Waste'!AD12</f>
        <v>0</v>
      </c>
      <c r="N12" s="128">
        <f>'App 6 - Residual Waste'!AE12</f>
        <v>2040.04</v>
      </c>
      <c r="O12" s="121"/>
      <c r="P12" s="128">
        <f t="shared" si="0"/>
        <v>6088.37</v>
      </c>
      <c r="Q12" s="128">
        <f t="shared" si="0"/>
        <v>3912.5699999999997</v>
      </c>
      <c r="R12" s="128">
        <f t="shared" si="0"/>
        <v>2175.8000000000002</v>
      </c>
      <c r="S12" s="129">
        <f t="shared" si="1"/>
        <v>0.64263012924641572</v>
      </c>
      <c r="U12" s="130">
        <f>(P12*1000)/'App 1 - Services'!F12/52</f>
        <v>8.8492206531281443</v>
      </c>
      <c r="V12" s="130">
        <f>(P12*1000)/'App 1 - Services'!G12/52</f>
        <v>18.392088982334034</v>
      </c>
      <c r="X12" s="131">
        <f t="shared" si="2"/>
        <v>0.64263012924641572</v>
      </c>
      <c r="Y12" s="132">
        <f t="shared" si="3"/>
        <v>1682.73</v>
      </c>
      <c r="Z12" s="133">
        <f t="shared" si="4"/>
        <v>0.27638431961263854</v>
      </c>
      <c r="AA12" s="132">
        <f t="shared" si="5"/>
        <v>2365.6</v>
      </c>
      <c r="AB12" s="133">
        <f t="shared" si="6"/>
        <v>0.38854406023287019</v>
      </c>
      <c r="AC12" s="132">
        <f t="shared" si="7"/>
        <v>2040.04</v>
      </c>
      <c r="AD12" s="133">
        <f t="shared" si="8"/>
        <v>0.33507162015449127</v>
      </c>
      <c r="AF12" s="127">
        <f>'App 4 - Recyclables'!V13+'App 4 - Recyclables'!AB13</f>
        <v>1682.73</v>
      </c>
      <c r="AG12" s="127">
        <f>'App 4 - Recyclables'!W13+'App 4 - Recyclables'!AC13</f>
        <v>1567.33</v>
      </c>
      <c r="AH12" s="127">
        <f>'App 4 - Recyclables'!X13+'App 4 - Recyclables'!AD13</f>
        <v>115.4</v>
      </c>
      <c r="AI12" s="127">
        <f>'App 5 - Organics'!V12+'App 5 - Organics'!AD12</f>
        <v>2365.6</v>
      </c>
      <c r="AJ12" s="127">
        <f>'App 5 - Organics'!W12+'App 5 - Organics'!AE12</f>
        <v>2345.2399999999998</v>
      </c>
      <c r="AK12" s="127">
        <f>'App 5 - Organics'!X12+'App 5 - Organics'!AF12</f>
        <v>20.36</v>
      </c>
      <c r="AL12" s="128">
        <f>'App 6 - Residual Waste'!AC12+'App 6 - Residual Waste'!AI12</f>
        <v>2040.04</v>
      </c>
      <c r="AM12" s="128">
        <f>'App 6 - Residual Waste'!AD12+'App 6 - Residual Waste'!AJ12</f>
        <v>0</v>
      </c>
      <c r="AN12" s="128">
        <f>'App 6 - Residual Waste'!AE12+'App 6 - Residual Waste'!AK12</f>
        <v>2040.04</v>
      </c>
      <c r="AO12" s="121"/>
      <c r="AP12" s="128">
        <f t="shared" si="10"/>
        <v>6088.37</v>
      </c>
      <c r="AQ12" s="128">
        <f t="shared" si="11"/>
        <v>3912.5699999999997</v>
      </c>
      <c r="AR12" s="128">
        <f t="shared" si="12"/>
        <v>2175.8000000000002</v>
      </c>
      <c r="AS12" s="129">
        <f t="shared" si="13"/>
        <v>0.64263012924641572</v>
      </c>
    </row>
    <row r="13" spans="1:45" ht="15.75" x14ac:dyDescent="0.25">
      <c r="A13" s="8">
        <v>10650</v>
      </c>
      <c r="B13" s="8" t="s">
        <v>77</v>
      </c>
      <c r="C13" s="8" t="s">
        <v>66</v>
      </c>
      <c r="D13" s="29" t="s">
        <v>1</v>
      </c>
      <c r="E13" s="126"/>
      <c r="F13" s="127">
        <f>'App 4 - Recyclables'!V14</f>
        <v>1696.4099999999999</v>
      </c>
      <c r="G13" s="127">
        <f>'App 4 - Recyclables'!W14</f>
        <v>1696.4099999999999</v>
      </c>
      <c r="H13" s="127">
        <f>'App 4 - Recyclables'!X14</f>
        <v>0</v>
      </c>
      <c r="I13" s="127">
        <f>'App 5 - Organics'!V13</f>
        <v>467</v>
      </c>
      <c r="J13" s="127">
        <f>'App 5 - Organics'!W13</f>
        <v>467</v>
      </c>
      <c r="K13" s="127">
        <f>'App 5 - Organics'!X13</f>
        <v>0</v>
      </c>
      <c r="L13" s="128">
        <f>'App 6 - Residual Waste'!AC13</f>
        <v>2159.9899999999998</v>
      </c>
      <c r="M13" s="128">
        <f>'App 6 - Residual Waste'!AD13</f>
        <v>11</v>
      </c>
      <c r="N13" s="128">
        <f>'App 6 - Residual Waste'!AE13</f>
        <v>2148.9899999999998</v>
      </c>
      <c r="O13" s="121"/>
      <c r="P13" s="128">
        <f t="shared" si="0"/>
        <v>4323.3999999999996</v>
      </c>
      <c r="Q13" s="128">
        <f t="shared" si="0"/>
        <v>2174.41</v>
      </c>
      <c r="R13" s="128">
        <f t="shared" si="0"/>
        <v>2148.9899999999998</v>
      </c>
      <c r="S13" s="129">
        <f t="shared" si="1"/>
        <v>0.50293981588564551</v>
      </c>
      <c r="U13" s="130">
        <f>(P13*1000)/'App 1 - Services'!F13/52</f>
        <v>9.619612136099466</v>
      </c>
      <c r="V13" s="130">
        <f>(P13*1000)/'App 1 - Services'!G13/52</f>
        <v>15.072934679533663</v>
      </c>
      <c r="X13" s="131">
        <f t="shared" si="2"/>
        <v>0.50293981588564551</v>
      </c>
      <c r="Y13" s="132">
        <f t="shared" si="3"/>
        <v>1696.4099999999999</v>
      </c>
      <c r="Z13" s="133">
        <f t="shared" si="4"/>
        <v>0.39237868344358606</v>
      </c>
      <c r="AA13" s="132">
        <f t="shared" si="5"/>
        <v>467</v>
      </c>
      <c r="AB13" s="133">
        <f t="shared" si="6"/>
        <v>0.1080168385992506</v>
      </c>
      <c r="AC13" s="132">
        <f t="shared" si="7"/>
        <v>2159.9899999999998</v>
      </c>
      <c r="AD13" s="133">
        <f t="shared" si="8"/>
        <v>0.49960447795716334</v>
      </c>
      <c r="AF13" s="127">
        <f>'App 4 - Recyclables'!V14+'App 4 - Recyclables'!AB14</f>
        <v>1696.4099999999999</v>
      </c>
      <c r="AG13" s="127">
        <f>'App 4 - Recyclables'!W14+'App 4 - Recyclables'!AC14</f>
        <v>1696.4099999999999</v>
      </c>
      <c r="AH13" s="127">
        <f>'App 4 - Recyclables'!X14+'App 4 - Recyclables'!AD14</f>
        <v>0</v>
      </c>
      <c r="AI13" s="127">
        <f>'App 5 - Organics'!V13+'App 5 - Organics'!AD13</f>
        <v>467</v>
      </c>
      <c r="AJ13" s="127">
        <f>'App 5 - Organics'!W13+'App 5 - Organics'!AE13</f>
        <v>467</v>
      </c>
      <c r="AK13" s="127">
        <f>'App 5 - Organics'!X13+'App 5 - Organics'!AF13</f>
        <v>0</v>
      </c>
      <c r="AL13" s="128">
        <f>'App 6 - Residual Waste'!AC13+'App 6 - Residual Waste'!AI13</f>
        <v>2159.9899999999998</v>
      </c>
      <c r="AM13" s="128">
        <f>'App 6 - Residual Waste'!AD13+'App 6 - Residual Waste'!AJ13</f>
        <v>11</v>
      </c>
      <c r="AN13" s="128">
        <f>'App 6 - Residual Waste'!AE13+'App 6 - Residual Waste'!AK13</f>
        <v>2148.9899999999998</v>
      </c>
      <c r="AO13" s="121"/>
      <c r="AP13" s="128">
        <f t="shared" si="10"/>
        <v>4323.3999999999996</v>
      </c>
      <c r="AQ13" s="128">
        <f t="shared" si="11"/>
        <v>2174.41</v>
      </c>
      <c r="AR13" s="128">
        <f t="shared" si="12"/>
        <v>2148.9899999999998</v>
      </c>
      <c r="AS13" s="129">
        <f t="shared" si="13"/>
        <v>0.50293981588564551</v>
      </c>
    </row>
    <row r="14" spans="1:45" ht="15.75" x14ac:dyDescent="0.25">
      <c r="A14" s="8">
        <v>10750</v>
      </c>
      <c r="B14" s="8" t="s">
        <v>45</v>
      </c>
      <c r="C14" s="8" t="s">
        <v>18</v>
      </c>
      <c r="D14" s="29" t="s">
        <v>2</v>
      </c>
      <c r="E14" s="126"/>
      <c r="F14" s="127">
        <f>'App 4 - Recyclables'!V15</f>
        <v>27322.400000000001</v>
      </c>
      <c r="G14" s="127">
        <f>'App 4 - Recyclables'!W15</f>
        <v>25829.4</v>
      </c>
      <c r="H14" s="127">
        <f>'App 4 - Recyclables'!X15</f>
        <v>1493</v>
      </c>
      <c r="I14" s="127">
        <f>'App 5 - Organics'!V14</f>
        <v>0</v>
      </c>
      <c r="J14" s="127">
        <f>'App 5 - Organics'!W14</f>
        <v>0</v>
      </c>
      <c r="K14" s="127">
        <f>'App 5 - Organics'!X14</f>
        <v>0</v>
      </c>
      <c r="L14" s="128">
        <f>'App 6 - Residual Waste'!AC14</f>
        <v>111502</v>
      </c>
      <c r="M14" s="128">
        <f>'App 6 - Residual Waste'!AD14</f>
        <v>100949</v>
      </c>
      <c r="N14" s="128">
        <f>'App 6 - Residual Waste'!AE14</f>
        <v>10553</v>
      </c>
      <c r="O14" s="121"/>
      <c r="P14" s="128">
        <f t="shared" si="0"/>
        <v>138824.4</v>
      </c>
      <c r="Q14" s="128">
        <f t="shared" si="0"/>
        <v>126778.4</v>
      </c>
      <c r="R14" s="128">
        <f t="shared" si="0"/>
        <v>12046</v>
      </c>
      <c r="S14" s="129">
        <f t="shared" si="1"/>
        <v>0.91322851026188478</v>
      </c>
      <c r="U14" s="130">
        <f>(P14*1000)/'App 1 - Services'!F14/52</f>
        <v>6.263931187558951</v>
      </c>
      <c r="V14" s="130">
        <f>(P14*1000)/'App 1 - Services'!G14/52</f>
        <v>17.218871940404398</v>
      </c>
      <c r="X14" s="131">
        <f t="shared" si="2"/>
        <v>0.91322851026188478</v>
      </c>
      <c r="Y14" s="132">
        <f t="shared" si="3"/>
        <v>27322.400000000001</v>
      </c>
      <c r="Z14" s="133">
        <f t="shared" si="4"/>
        <v>0.19681266405617459</v>
      </c>
      <c r="AA14" s="132">
        <f t="shared" si="5"/>
        <v>0</v>
      </c>
      <c r="AB14" s="133">
        <f t="shared" si="6"/>
        <v>0</v>
      </c>
      <c r="AC14" s="132">
        <f t="shared" si="7"/>
        <v>111502</v>
      </c>
      <c r="AD14" s="133">
        <f t="shared" si="8"/>
        <v>0.80318733594382552</v>
      </c>
      <c r="AF14" s="127">
        <f>'App 4 - Recyclables'!V15+'App 4 - Recyclables'!AB15</f>
        <v>27322.400000000001</v>
      </c>
      <c r="AG14" s="127">
        <f>'App 4 - Recyclables'!W15+'App 4 - Recyclables'!AC15</f>
        <v>25829.4</v>
      </c>
      <c r="AH14" s="127">
        <f>'App 4 - Recyclables'!X15+'App 4 - Recyclables'!AD15</f>
        <v>1493</v>
      </c>
      <c r="AI14" s="127">
        <f>'App 5 - Organics'!V14+'App 5 - Organics'!AD14</f>
        <v>0</v>
      </c>
      <c r="AJ14" s="127">
        <f>'App 5 - Organics'!W14+'App 5 - Organics'!AE14</f>
        <v>0</v>
      </c>
      <c r="AK14" s="127">
        <f>'App 5 - Organics'!X14+'App 5 - Organics'!AF14</f>
        <v>0</v>
      </c>
      <c r="AL14" s="128">
        <f>'App 6 - Residual Waste'!AC14+'App 6 - Residual Waste'!AI14</f>
        <v>111502</v>
      </c>
      <c r="AM14" s="128">
        <f>'App 6 - Residual Waste'!AD14+'App 6 - Residual Waste'!AJ14</f>
        <v>100949</v>
      </c>
      <c r="AN14" s="128">
        <f>'App 6 - Residual Waste'!AE14+'App 6 - Residual Waste'!AK14</f>
        <v>10553</v>
      </c>
      <c r="AO14" s="121"/>
      <c r="AP14" s="128">
        <f t="shared" si="10"/>
        <v>138824.4</v>
      </c>
      <c r="AQ14" s="128">
        <f t="shared" si="11"/>
        <v>126778.4</v>
      </c>
      <c r="AR14" s="128">
        <f t="shared" si="12"/>
        <v>12046</v>
      </c>
      <c r="AS14" s="129">
        <f t="shared" si="13"/>
        <v>0.91322851026188478</v>
      </c>
    </row>
    <row r="15" spans="1:45" ht="15.75" x14ac:dyDescent="0.25">
      <c r="A15" s="8">
        <v>10800</v>
      </c>
      <c r="B15" s="8" t="s">
        <v>78</v>
      </c>
      <c r="C15" s="8" t="s">
        <v>21</v>
      </c>
      <c r="D15" s="29" t="s">
        <v>1</v>
      </c>
      <c r="E15" s="126"/>
      <c r="F15" s="127">
        <f>'App 4 - Recyclables'!V16</f>
        <v>244.15</v>
      </c>
      <c r="G15" s="127">
        <f>'App 4 - Recyclables'!W16</f>
        <v>244.15</v>
      </c>
      <c r="H15" s="127">
        <f>'App 4 - Recyclables'!X16</f>
        <v>0</v>
      </c>
      <c r="I15" s="127">
        <f>'App 5 - Organics'!V15</f>
        <v>211.32</v>
      </c>
      <c r="J15" s="127">
        <f>'App 5 - Organics'!W15</f>
        <v>0</v>
      </c>
      <c r="K15" s="127">
        <f>'App 5 - Organics'!X15</f>
        <v>211.32</v>
      </c>
      <c r="L15" s="128">
        <f>'App 6 - Residual Waste'!AC15</f>
        <v>1226.0400000000002</v>
      </c>
      <c r="M15" s="128">
        <f>'App 6 - Residual Waste'!AD15</f>
        <v>0</v>
      </c>
      <c r="N15" s="128">
        <f>'App 6 - Residual Waste'!AE15</f>
        <v>1226.0400000000002</v>
      </c>
      <c r="O15" s="121"/>
      <c r="P15" s="128">
        <f t="shared" si="0"/>
        <v>1681.5100000000002</v>
      </c>
      <c r="Q15" s="128">
        <f t="shared" si="0"/>
        <v>244.15</v>
      </c>
      <c r="R15" s="128">
        <f t="shared" si="0"/>
        <v>1437.3600000000001</v>
      </c>
      <c r="S15" s="129">
        <f t="shared" si="1"/>
        <v>0.14519687661685032</v>
      </c>
      <c r="U15" s="130">
        <f>(P15*1000)/'App 1 - Services'!F15/52</f>
        <v>5.9181425273116348</v>
      </c>
      <c r="V15" s="130">
        <f>(P15*1000)/'App 1 - Services'!G15/52</f>
        <v>7.3392489262893275</v>
      </c>
      <c r="X15" s="131">
        <f t="shared" si="2"/>
        <v>0.14519687661685032</v>
      </c>
      <c r="Y15" s="132">
        <f t="shared" si="3"/>
        <v>244.15</v>
      </c>
      <c r="Z15" s="133">
        <f t="shared" si="4"/>
        <v>0.14519687661685032</v>
      </c>
      <c r="AA15" s="132">
        <f t="shared" si="5"/>
        <v>211.32</v>
      </c>
      <c r="AB15" s="133">
        <f t="shared" si="6"/>
        <v>0.12567275841356873</v>
      </c>
      <c r="AC15" s="132">
        <f t="shared" si="7"/>
        <v>1226.0400000000002</v>
      </c>
      <c r="AD15" s="133">
        <f t="shared" si="8"/>
        <v>0.72913036496958095</v>
      </c>
      <c r="AF15" s="127">
        <f>'App 4 - Recyclables'!V16+'App 4 - Recyclables'!AB16</f>
        <v>244.15</v>
      </c>
      <c r="AG15" s="127">
        <f>'App 4 - Recyclables'!W16+'App 4 - Recyclables'!AC16</f>
        <v>244.15</v>
      </c>
      <c r="AH15" s="127">
        <f>'App 4 - Recyclables'!X16+'App 4 - Recyclables'!AD16</f>
        <v>0</v>
      </c>
      <c r="AI15" s="127">
        <f>'App 5 - Organics'!V15+'App 5 - Organics'!AD15</f>
        <v>211.32</v>
      </c>
      <c r="AJ15" s="127">
        <f>'App 5 - Organics'!W15+'App 5 - Organics'!AE15</f>
        <v>0</v>
      </c>
      <c r="AK15" s="127">
        <f>'App 5 - Organics'!X15+'App 5 - Organics'!AF15</f>
        <v>211.32</v>
      </c>
      <c r="AL15" s="128">
        <f>'App 6 - Residual Waste'!AC15+'App 6 - Residual Waste'!AI15</f>
        <v>1226.0400000000002</v>
      </c>
      <c r="AM15" s="128">
        <f>'App 6 - Residual Waste'!AD15+'App 6 - Residual Waste'!AJ15</f>
        <v>0</v>
      </c>
      <c r="AN15" s="128">
        <f>'App 6 - Residual Waste'!AE15+'App 6 - Residual Waste'!AK15</f>
        <v>1226.0400000000002</v>
      </c>
      <c r="AO15" s="121"/>
      <c r="AP15" s="128">
        <f t="shared" si="10"/>
        <v>1681.5100000000002</v>
      </c>
      <c r="AQ15" s="128">
        <f t="shared" si="11"/>
        <v>244.15</v>
      </c>
      <c r="AR15" s="128">
        <f t="shared" si="12"/>
        <v>1437.3600000000001</v>
      </c>
      <c r="AS15" s="129">
        <f t="shared" si="13"/>
        <v>0.14519687661685032</v>
      </c>
    </row>
    <row r="16" spans="1:45" ht="15.75" x14ac:dyDescent="0.25">
      <c r="A16" s="8">
        <v>10850</v>
      </c>
      <c r="B16" s="8" t="s">
        <v>79</v>
      </c>
      <c r="C16" s="8" t="s">
        <v>38</v>
      </c>
      <c r="D16" s="29" t="s">
        <v>1</v>
      </c>
      <c r="E16" s="126"/>
      <c r="F16" s="127">
        <f>'App 4 - Recyclables'!V17</f>
        <v>1261.8700000000001</v>
      </c>
      <c r="G16" s="127">
        <f>'App 4 - Recyclables'!W17</f>
        <v>1261.8700000000001</v>
      </c>
      <c r="H16" s="127">
        <f>'App 4 - Recyclables'!X17</f>
        <v>0</v>
      </c>
      <c r="I16" s="127">
        <f>'App 5 - Organics'!V16</f>
        <v>944.7</v>
      </c>
      <c r="J16" s="127">
        <f>'App 5 - Organics'!W16</f>
        <v>944.7</v>
      </c>
      <c r="K16" s="127">
        <f>'App 5 - Organics'!X16</f>
        <v>0</v>
      </c>
      <c r="L16" s="128">
        <f>'App 6 - Residual Waste'!AC16</f>
        <v>1841.5</v>
      </c>
      <c r="M16" s="128">
        <f>'App 6 - Residual Waste'!AD16</f>
        <v>136</v>
      </c>
      <c r="N16" s="128">
        <f>'App 6 - Residual Waste'!AE16</f>
        <v>1705.5</v>
      </c>
      <c r="O16" s="121"/>
      <c r="P16" s="128">
        <f t="shared" si="0"/>
        <v>4048.07</v>
      </c>
      <c r="Q16" s="128">
        <f t="shared" si="0"/>
        <v>2342.5700000000002</v>
      </c>
      <c r="R16" s="128">
        <f t="shared" si="0"/>
        <v>1705.5</v>
      </c>
      <c r="S16" s="129">
        <f t="shared" si="1"/>
        <v>0.57868811557112398</v>
      </c>
      <c r="U16" s="130">
        <f>(P16*1000)/'App 1 - Services'!F16/52</f>
        <v>10.18413134484563</v>
      </c>
      <c r="V16" s="130">
        <f>(P16*1000)/'App 1 - Services'!G16/52</f>
        <v>17.77746060744462</v>
      </c>
      <c r="X16" s="131">
        <f t="shared" si="2"/>
        <v>0.57868811557112398</v>
      </c>
      <c r="Y16" s="132">
        <f t="shared" si="3"/>
        <v>1261.8700000000001</v>
      </c>
      <c r="Z16" s="133">
        <f t="shared" si="4"/>
        <v>0.31172138821710099</v>
      </c>
      <c r="AA16" s="132">
        <f t="shared" si="5"/>
        <v>944.7</v>
      </c>
      <c r="AB16" s="133">
        <f t="shared" si="6"/>
        <v>0.23337047037230088</v>
      </c>
      <c r="AC16" s="132">
        <f t="shared" si="7"/>
        <v>1841.5</v>
      </c>
      <c r="AD16" s="133">
        <f t="shared" si="8"/>
        <v>0.4549081414105981</v>
      </c>
      <c r="AF16" s="127">
        <f>'App 4 - Recyclables'!V17+'App 4 - Recyclables'!AB17</f>
        <v>1261.8700000000001</v>
      </c>
      <c r="AG16" s="127">
        <f>'App 4 - Recyclables'!W17+'App 4 - Recyclables'!AC17</f>
        <v>1261.8700000000001</v>
      </c>
      <c r="AH16" s="127">
        <f>'App 4 - Recyclables'!X17+'App 4 - Recyclables'!AD17</f>
        <v>0</v>
      </c>
      <c r="AI16" s="127">
        <f>'App 5 - Organics'!V16+'App 5 - Organics'!AD16</f>
        <v>944.7</v>
      </c>
      <c r="AJ16" s="127">
        <f>'App 5 - Organics'!W16+'App 5 - Organics'!AE16</f>
        <v>944.7</v>
      </c>
      <c r="AK16" s="127">
        <f>'App 5 - Organics'!X16+'App 5 - Organics'!AF16</f>
        <v>0</v>
      </c>
      <c r="AL16" s="128">
        <f>'App 6 - Residual Waste'!AC16+'App 6 - Residual Waste'!AI16</f>
        <v>1841.5</v>
      </c>
      <c r="AM16" s="128">
        <f>'App 6 - Residual Waste'!AD16+'App 6 - Residual Waste'!AJ16</f>
        <v>136</v>
      </c>
      <c r="AN16" s="128">
        <f>'App 6 - Residual Waste'!AE16+'App 6 - Residual Waste'!AK16</f>
        <v>1705.5</v>
      </c>
      <c r="AO16" s="121"/>
      <c r="AP16" s="128">
        <f t="shared" si="10"/>
        <v>4048.07</v>
      </c>
      <c r="AQ16" s="128">
        <f t="shared" si="11"/>
        <v>2342.5700000000002</v>
      </c>
      <c r="AR16" s="128">
        <f t="shared" si="12"/>
        <v>1705.5</v>
      </c>
      <c r="AS16" s="129">
        <f t="shared" si="13"/>
        <v>0.57868811557112398</v>
      </c>
    </row>
    <row r="17" spans="1:45" ht="15.75" x14ac:dyDescent="0.25">
      <c r="A17" s="8">
        <v>10900</v>
      </c>
      <c r="B17" s="8" t="s">
        <v>80</v>
      </c>
      <c r="C17" s="8" t="s">
        <v>18</v>
      </c>
      <c r="D17" s="29" t="s">
        <v>3</v>
      </c>
      <c r="E17" s="126"/>
      <c r="F17" s="127">
        <f>'App 4 - Recyclables'!V18</f>
        <v>9021.73</v>
      </c>
      <c r="G17" s="127">
        <f>'App 4 - Recyclables'!W18</f>
        <v>8210.2800000000007</v>
      </c>
      <c r="H17" s="127">
        <f>'App 4 - Recyclables'!X18</f>
        <v>811.45</v>
      </c>
      <c r="I17" s="127">
        <f>'App 5 - Organics'!V17</f>
        <v>15526.28</v>
      </c>
      <c r="J17" s="127">
        <f>'App 5 - Organics'!W17</f>
        <v>15526.28</v>
      </c>
      <c r="K17" s="127">
        <f>'App 5 - Organics'!X17</f>
        <v>0</v>
      </c>
      <c r="L17" s="128">
        <f>'App 6 - Residual Waste'!AC17</f>
        <v>23054.910000000003</v>
      </c>
      <c r="M17" s="128">
        <f>'App 6 - Residual Waste'!AD17</f>
        <v>2352.5500000000002</v>
      </c>
      <c r="N17" s="128">
        <f>'App 6 - Residual Waste'!AE17</f>
        <v>20702.36</v>
      </c>
      <c r="O17" s="121"/>
      <c r="P17" s="128">
        <f t="shared" si="0"/>
        <v>47602.920000000006</v>
      </c>
      <c r="Q17" s="128">
        <f t="shared" si="0"/>
        <v>26089.11</v>
      </c>
      <c r="R17" s="128">
        <f t="shared" si="0"/>
        <v>21513.81</v>
      </c>
      <c r="S17" s="129">
        <f t="shared" si="1"/>
        <v>0.54805692591967037</v>
      </c>
      <c r="U17" s="130">
        <f>(P17*1000)/'App 1 - Services'!F17/52</f>
        <v>11.669693409871369</v>
      </c>
      <c r="V17" s="130">
        <f>(P17*1000)/'App 1 - Services'!G17/52</f>
        <v>25.114284086328755</v>
      </c>
      <c r="X17" s="131">
        <f t="shared" si="2"/>
        <v>0.54805692591967037</v>
      </c>
      <c r="Y17" s="132">
        <f t="shared" si="3"/>
        <v>9021.73</v>
      </c>
      <c r="Z17" s="133">
        <f t="shared" si="4"/>
        <v>0.18952051680863272</v>
      </c>
      <c r="AA17" s="132">
        <f t="shared" si="5"/>
        <v>15526.28</v>
      </c>
      <c r="AB17" s="133">
        <f t="shared" si="6"/>
        <v>0.3261623446628904</v>
      </c>
      <c r="AC17" s="132">
        <f t="shared" si="7"/>
        <v>23054.910000000003</v>
      </c>
      <c r="AD17" s="133">
        <f t="shared" si="8"/>
        <v>0.48431713852847685</v>
      </c>
      <c r="AF17" s="127">
        <f>'App 4 - Recyclables'!V18+'App 4 - Recyclables'!AB18</f>
        <v>9021.73</v>
      </c>
      <c r="AG17" s="127">
        <f>'App 4 - Recyclables'!W18+'App 4 - Recyclables'!AC18</f>
        <v>8210.2800000000007</v>
      </c>
      <c r="AH17" s="127">
        <f>'App 4 - Recyclables'!X18+'App 4 - Recyclables'!AD18</f>
        <v>811.45</v>
      </c>
      <c r="AI17" s="127">
        <f>'App 5 - Organics'!V17+'App 5 - Organics'!AD17</f>
        <v>15526.28</v>
      </c>
      <c r="AJ17" s="127">
        <f>'App 5 - Organics'!W17+'App 5 - Organics'!AE17</f>
        <v>15526.28</v>
      </c>
      <c r="AK17" s="127">
        <f>'App 5 - Organics'!X17+'App 5 - Organics'!AF17</f>
        <v>0</v>
      </c>
      <c r="AL17" s="128">
        <f>'App 6 - Residual Waste'!AC17+'App 6 - Residual Waste'!AI17</f>
        <v>24034.910000000003</v>
      </c>
      <c r="AM17" s="128">
        <f>'App 6 - Residual Waste'!AD17+'App 6 - Residual Waste'!AJ17</f>
        <v>2754.55</v>
      </c>
      <c r="AN17" s="128">
        <f>'App 6 - Residual Waste'!AE17+'App 6 - Residual Waste'!AK17</f>
        <v>21280.36</v>
      </c>
      <c r="AO17" s="121"/>
      <c r="AP17" s="128">
        <f t="shared" si="10"/>
        <v>48582.920000000006</v>
      </c>
      <c r="AQ17" s="128">
        <f t="shared" si="11"/>
        <v>26491.11</v>
      </c>
      <c r="AR17" s="128">
        <f t="shared" si="12"/>
        <v>22091.81</v>
      </c>
      <c r="AS17" s="129">
        <f t="shared" si="13"/>
        <v>0.54527619994845922</v>
      </c>
    </row>
    <row r="18" spans="1:45" ht="15.75" x14ac:dyDescent="0.25">
      <c r="A18" s="8">
        <v>10950</v>
      </c>
      <c r="B18" s="8" t="s">
        <v>81</v>
      </c>
      <c r="C18" s="8" t="s">
        <v>38</v>
      </c>
      <c r="D18" s="29" t="s">
        <v>1</v>
      </c>
      <c r="E18" s="126"/>
      <c r="F18" s="127">
        <f>'App 4 - Recyclables'!V19</f>
        <v>249.70999999999998</v>
      </c>
      <c r="G18" s="127">
        <f>'App 4 - Recyclables'!W19</f>
        <v>229.05</v>
      </c>
      <c r="H18" s="127">
        <f>'App 4 - Recyclables'!X19</f>
        <v>20.66</v>
      </c>
      <c r="I18" s="127">
        <f>'App 5 - Organics'!V18</f>
        <v>515.82000000000005</v>
      </c>
      <c r="J18" s="127">
        <f>'App 5 - Organics'!W18</f>
        <v>515.82000000000005</v>
      </c>
      <c r="K18" s="127">
        <f>'App 5 - Organics'!X18</f>
        <v>0</v>
      </c>
      <c r="L18" s="128">
        <f>'App 6 - Residual Waste'!AC18</f>
        <v>2328.31</v>
      </c>
      <c r="M18" s="128">
        <f>'App 6 - Residual Waste'!AD18</f>
        <v>442.77</v>
      </c>
      <c r="N18" s="128">
        <f>'App 6 - Residual Waste'!AE18</f>
        <v>1885.54</v>
      </c>
      <c r="O18" s="121"/>
      <c r="P18" s="128">
        <f t="shared" si="0"/>
        <v>3093.84</v>
      </c>
      <c r="Q18" s="128">
        <f t="shared" si="0"/>
        <v>1187.6400000000001</v>
      </c>
      <c r="R18" s="128">
        <f t="shared" si="0"/>
        <v>1906.2</v>
      </c>
      <c r="S18" s="129">
        <f t="shared" si="1"/>
        <v>0.38387246916453344</v>
      </c>
      <c r="U18" s="130">
        <f>(P18*1000)/'App 1 - Services'!F18/52</f>
        <v>24.585505403687225</v>
      </c>
      <c r="V18" s="130">
        <f>(P18*1000)/'App 1 - Services'!G18/52</f>
        <v>27.841330405672942</v>
      </c>
      <c r="X18" s="131">
        <f t="shared" si="2"/>
        <v>0.38387246916453344</v>
      </c>
      <c r="Y18" s="132">
        <f t="shared" si="3"/>
        <v>249.70999999999998</v>
      </c>
      <c r="Z18" s="133">
        <f t="shared" si="4"/>
        <v>8.0711995449021273E-2</v>
      </c>
      <c r="AA18" s="132">
        <f t="shared" si="5"/>
        <v>515.82000000000005</v>
      </c>
      <c r="AB18" s="133">
        <f t="shared" si="6"/>
        <v>0.16672484679233573</v>
      </c>
      <c r="AC18" s="132">
        <f t="shared" si="7"/>
        <v>2328.31</v>
      </c>
      <c r="AD18" s="133">
        <f t="shared" si="8"/>
        <v>0.75256315775864291</v>
      </c>
      <c r="AF18" s="127">
        <f>'App 4 - Recyclables'!V19+'App 4 - Recyclables'!AB19</f>
        <v>249.70999999999998</v>
      </c>
      <c r="AG18" s="127">
        <f>'App 4 - Recyclables'!W19+'App 4 - Recyclables'!AC19</f>
        <v>229.05</v>
      </c>
      <c r="AH18" s="127">
        <f>'App 4 - Recyclables'!X19+'App 4 - Recyclables'!AD19</f>
        <v>20.66</v>
      </c>
      <c r="AI18" s="127">
        <f>'App 5 - Organics'!V18+'App 5 - Organics'!AD18</f>
        <v>515.82000000000005</v>
      </c>
      <c r="AJ18" s="127">
        <f>'App 5 - Organics'!W18+'App 5 - Organics'!AE18</f>
        <v>515.82000000000005</v>
      </c>
      <c r="AK18" s="127">
        <f>'App 5 - Organics'!X18+'App 5 - Organics'!AF18</f>
        <v>0</v>
      </c>
      <c r="AL18" s="128">
        <f>'App 6 - Residual Waste'!AC18+'App 6 - Residual Waste'!AI18</f>
        <v>2328.31</v>
      </c>
      <c r="AM18" s="128">
        <f>'App 6 - Residual Waste'!AD18+'App 6 - Residual Waste'!AJ18</f>
        <v>442.77</v>
      </c>
      <c r="AN18" s="128">
        <f>'App 6 - Residual Waste'!AE18+'App 6 - Residual Waste'!AK18</f>
        <v>1885.54</v>
      </c>
      <c r="AO18" s="121"/>
      <c r="AP18" s="128">
        <f t="shared" si="10"/>
        <v>3093.84</v>
      </c>
      <c r="AQ18" s="128">
        <f t="shared" si="11"/>
        <v>1187.6400000000001</v>
      </c>
      <c r="AR18" s="128">
        <f t="shared" si="12"/>
        <v>1906.2</v>
      </c>
      <c r="AS18" s="129">
        <f t="shared" si="13"/>
        <v>0.38387246916453344</v>
      </c>
    </row>
    <row r="19" spans="1:45" ht="15.75" x14ac:dyDescent="0.25">
      <c r="A19" s="8">
        <v>11150</v>
      </c>
      <c r="B19" s="8" t="s">
        <v>82</v>
      </c>
      <c r="C19" s="8" t="s">
        <v>38</v>
      </c>
      <c r="D19" s="29" t="s">
        <v>1</v>
      </c>
      <c r="E19" s="126"/>
      <c r="F19" s="127">
        <f>'App 4 - Recyclables'!V20</f>
        <v>53.230000000000004</v>
      </c>
      <c r="G19" s="127">
        <f>'App 4 - Recyclables'!W20</f>
        <v>53.230000000000004</v>
      </c>
      <c r="H19" s="127">
        <f>'App 4 - Recyclables'!X20</f>
        <v>0</v>
      </c>
      <c r="I19" s="127">
        <f>'App 5 - Organics'!V19</f>
        <v>0</v>
      </c>
      <c r="J19" s="127">
        <f>'App 5 - Organics'!W19</f>
        <v>0</v>
      </c>
      <c r="K19" s="127">
        <f>'App 5 - Organics'!X19</f>
        <v>0</v>
      </c>
      <c r="L19" s="128">
        <f>'App 6 - Residual Waste'!AC19</f>
        <v>920</v>
      </c>
      <c r="M19" s="128">
        <f>'App 6 - Residual Waste'!AD19</f>
        <v>0</v>
      </c>
      <c r="N19" s="128">
        <f>'App 6 - Residual Waste'!AE19</f>
        <v>920</v>
      </c>
      <c r="O19" s="121"/>
      <c r="P19" s="128">
        <f t="shared" si="0"/>
        <v>973.23</v>
      </c>
      <c r="Q19" s="128">
        <f t="shared" si="0"/>
        <v>53.230000000000004</v>
      </c>
      <c r="R19" s="128">
        <f t="shared" si="0"/>
        <v>920</v>
      </c>
      <c r="S19" s="129">
        <f t="shared" si="1"/>
        <v>5.4694162736454902E-2</v>
      </c>
      <c r="U19" s="130">
        <f>(P19*1000)/'App 1 - Services'!F19/52</f>
        <v>7.9137258090746467</v>
      </c>
      <c r="V19" s="130">
        <f>(P19*1000)/'App 1 - Services'!G19/52</f>
        <v>18.188495178291099</v>
      </c>
      <c r="X19" s="131">
        <f t="shared" si="2"/>
        <v>5.4694162736454902E-2</v>
      </c>
      <c r="Y19" s="132">
        <f t="shared" si="3"/>
        <v>53.230000000000004</v>
      </c>
      <c r="Z19" s="133">
        <f t="shared" si="4"/>
        <v>5.4694162736454902E-2</v>
      </c>
      <c r="AA19" s="132">
        <f t="shared" si="5"/>
        <v>0</v>
      </c>
      <c r="AB19" s="133">
        <f t="shared" si="6"/>
        <v>0</v>
      </c>
      <c r="AC19" s="132">
        <f t="shared" si="7"/>
        <v>920</v>
      </c>
      <c r="AD19" s="133">
        <f t="shared" si="8"/>
        <v>0.94530583726354511</v>
      </c>
      <c r="AF19" s="127">
        <f>'App 4 - Recyclables'!V20+'App 4 - Recyclables'!AB20</f>
        <v>53.230000000000004</v>
      </c>
      <c r="AG19" s="127">
        <f>'App 4 - Recyclables'!W20+'App 4 - Recyclables'!AC20</f>
        <v>53.230000000000004</v>
      </c>
      <c r="AH19" s="127">
        <f>'App 4 - Recyclables'!X20+'App 4 - Recyclables'!AD20</f>
        <v>0</v>
      </c>
      <c r="AI19" s="127">
        <f>'App 5 - Organics'!V19+'App 5 - Organics'!AD19</f>
        <v>20</v>
      </c>
      <c r="AJ19" s="127">
        <f>'App 5 - Organics'!W19+'App 5 - Organics'!AE19</f>
        <v>20</v>
      </c>
      <c r="AK19" s="127">
        <f>'App 5 - Organics'!X19+'App 5 - Organics'!AF19</f>
        <v>0</v>
      </c>
      <c r="AL19" s="128">
        <f>'App 6 - Residual Waste'!AC19+'App 6 - Residual Waste'!AI19</f>
        <v>920</v>
      </c>
      <c r="AM19" s="128">
        <f>'App 6 - Residual Waste'!AD19+'App 6 - Residual Waste'!AJ19</f>
        <v>0</v>
      </c>
      <c r="AN19" s="128">
        <f>'App 6 - Residual Waste'!AE19+'App 6 - Residual Waste'!AK19</f>
        <v>920</v>
      </c>
      <c r="AO19" s="121"/>
      <c r="AP19" s="128">
        <f t="shared" si="10"/>
        <v>993.23</v>
      </c>
      <c r="AQ19" s="128">
        <f t="shared" si="11"/>
        <v>73.23</v>
      </c>
      <c r="AR19" s="128">
        <f t="shared" si="12"/>
        <v>920</v>
      </c>
      <c r="AS19" s="129">
        <f t="shared" si="13"/>
        <v>7.3729146320590397E-2</v>
      </c>
    </row>
    <row r="20" spans="1:45" ht="15.75" x14ac:dyDescent="0.25">
      <c r="A20" s="8">
        <v>11200</v>
      </c>
      <c r="B20" s="8" t="s">
        <v>83</v>
      </c>
      <c r="C20" s="8" t="s">
        <v>38</v>
      </c>
      <c r="D20" s="29" t="s">
        <v>1</v>
      </c>
      <c r="E20" s="126"/>
      <c r="F20" s="127">
        <f>'App 4 - Recyclables'!V21</f>
        <v>58.29</v>
      </c>
      <c r="G20" s="127">
        <f>'App 4 - Recyclables'!W21</f>
        <v>58.29</v>
      </c>
      <c r="H20" s="127">
        <f>'App 4 - Recyclables'!X21</f>
        <v>0</v>
      </c>
      <c r="I20" s="127">
        <f>'App 5 - Organics'!V20</f>
        <v>100</v>
      </c>
      <c r="J20" s="127">
        <f>'App 5 - Organics'!W20</f>
        <v>100</v>
      </c>
      <c r="K20" s="127">
        <f>'App 5 - Organics'!X20</f>
        <v>0</v>
      </c>
      <c r="L20" s="128">
        <f>'App 6 - Residual Waste'!AC20</f>
        <v>1070</v>
      </c>
      <c r="M20" s="128">
        <f>'App 6 - Residual Waste'!AD20</f>
        <v>500</v>
      </c>
      <c r="N20" s="128">
        <f>'App 6 - Residual Waste'!AE20</f>
        <v>570</v>
      </c>
      <c r="O20" s="121"/>
      <c r="P20" s="128">
        <f t="shared" si="0"/>
        <v>1228.29</v>
      </c>
      <c r="Q20" s="128">
        <f t="shared" si="0"/>
        <v>658.29</v>
      </c>
      <c r="R20" s="128">
        <f t="shared" si="0"/>
        <v>570</v>
      </c>
      <c r="S20" s="129">
        <f t="shared" si="1"/>
        <v>0.53594020955963162</v>
      </c>
      <c r="U20" s="130">
        <f>(P20*1000)/'App 1 - Services'!F20/52</f>
        <v>16.740582238456089</v>
      </c>
      <c r="V20" s="130">
        <f>(P20*1000)/'App 1 - Services'!G20/52</f>
        <v>32.181146510165583</v>
      </c>
      <c r="X20" s="131">
        <f t="shared" si="2"/>
        <v>0.53594020955963162</v>
      </c>
      <c r="Y20" s="132">
        <f t="shared" si="3"/>
        <v>58.29</v>
      </c>
      <c r="Z20" s="133">
        <f t="shared" si="4"/>
        <v>4.7456219622401874E-2</v>
      </c>
      <c r="AA20" s="132">
        <f t="shared" si="5"/>
        <v>100</v>
      </c>
      <c r="AB20" s="133">
        <f t="shared" si="6"/>
        <v>8.1413998322871634E-2</v>
      </c>
      <c r="AC20" s="132">
        <f t="shared" si="7"/>
        <v>1070</v>
      </c>
      <c r="AD20" s="133">
        <f t="shared" si="8"/>
        <v>0.87112978205472646</v>
      </c>
      <c r="AF20" s="127">
        <f>'App 4 - Recyclables'!V21+'App 4 - Recyclables'!AB21</f>
        <v>58.29</v>
      </c>
      <c r="AG20" s="127">
        <f>'App 4 - Recyclables'!W21+'App 4 - Recyclables'!AC21</f>
        <v>58.29</v>
      </c>
      <c r="AH20" s="127">
        <f>'App 4 - Recyclables'!X21+'App 4 - Recyclables'!AD21</f>
        <v>0</v>
      </c>
      <c r="AI20" s="127">
        <f>'App 5 - Organics'!V20+'App 5 - Organics'!AD20</f>
        <v>100</v>
      </c>
      <c r="AJ20" s="127">
        <f>'App 5 - Organics'!W20+'App 5 - Organics'!AE20</f>
        <v>100</v>
      </c>
      <c r="AK20" s="127">
        <f>'App 5 - Organics'!X20+'App 5 - Organics'!AF20</f>
        <v>0</v>
      </c>
      <c r="AL20" s="128">
        <f>'App 6 - Residual Waste'!AC20+'App 6 - Residual Waste'!AI20</f>
        <v>1070</v>
      </c>
      <c r="AM20" s="128">
        <f>'App 6 - Residual Waste'!AD20+'App 6 - Residual Waste'!AJ20</f>
        <v>500</v>
      </c>
      <c r="AN20" s="128">
        <f>'App 6 - Residual Waste'!AE20+'App 6 - Residual Waste'!AK20</f>
        <v>570</v>
      </c>
      <c r="AO20" s="121"/>
      <c r="AP20" s="128">
        <f t="shared" si="10"/>
        <v>1228.29</v>
      </c>
      <c r="AQ20" s="128">
        <f t="shared" si="11"/>
        <v>658.29</v>
      </c>
      <c r="AR20" s="128">
        <f t="shared" si="12"/>
        <v>570</v>
      </c>
      <c r="AS20" s="129">
        <f t="shared" si="13"/>
        <v>0.53594020955963162</v>
      </c>
    </row>
    <row r="21" spans="1:45" ht="15.75" x14ac:dyDescent="0.25">
      <c r="A21" s="8">
        <v>11250</v>
      </c>
      <c r="B21" s="8" t="s">
        <v>84</v>
      </c>
      <c r="C21" s="8" t="s">
        <v>38</v>
      </c>
      <c r="D21" s="29" t="s">
        <v>1</v>
      </c>
      <c r="E21" s="126"/>
      <c r="F21" s="127">
        <f>'App 4 - Recyclables'!V22</f>
        <v>1519.92</v>
      </c>
      <c r="G21" s="127">
        <f>'App 4 - Recyclables'!W22</f>
        <v>617.48</v>
      </c>
      <c r="H21" s="127">
        <f>'App 4 - Recyclables'!X22</f>
        <v>902.43999999999994</v>
      </c>
      <c r="I21" s="127">
        <f>'App 5 - Organics'!V21</f>
        <v>1765.4099999999999</v>
      </c>
      <c r="J21" s="127">
        <f>'App 5 - Organics'!W21</f>
        <v>1765.4099999999999</v>
      </c>
      <c r="K21" s="127">
        <f>'App 5 - Organics'!X21</f>
        <v>0</v>
      </c>
      <c r="L21" s="128">
        <f>'App 6 - Residual Waste'!AC21</f>
        <v>18581.64</v>
      </c>
      <c r="M21" s="128">
        <f>'App 6 - Residual Waste'!AD21</f>
        <v>25.050000000001091</v>
      </c>
      <c r="N21" s="128">
        <f>'App 6 - Residual Waste'!AE21</f>
        <v>18556.59</v>
      </c>
      <c r="O21" s="121"/>
      <c r="P21" s="128">
        <f t="shared" si="0"/>
        <v>21866.97</v>
      </c>
      <c r="Q21" s="128">
        <f t="shared" si="0"/>
        <v>2407.940000000001</v>
      </c>
      <c r="R21" s="128">
        <f t="shared" si="0"/>
        <v>19459.03</v>
      </c>
      <c r="S21" s="129">
        <f t="shared" si="1"/>
        <v>0.11011767976999104</v>
      </c>
      <c r="U21" s="130">
        <f>(P21*1000)/'App 1 - Services'!F21/52</f>
        <v>23.860568193721846</v>
      </c>
      <c r="V21" s="130">
        <f>(P21*1000)/'App 1 - Services'!G21/52</f>
        <v>39.754079584624108</v>
      </c>
      <c r="X21" s="131">
        <f t="shared" si="2"/>
        <v>0.11011767976999104</v>
      </c>
      <c r="Y21" s="132">
        <f t="shared" si="3"/>
        <v>1519.92</v>
      </c>
      <c r="Z21" s="133">
        <f t="shared" si="4"/>
        <v>6.9507572379712418E-2</v>
      </c>
      <c r="AA21" s="132">
        <f t="shared" si="5"/>
        <v>1765.4099999999999</v>
      </c>
      <c r="AB21" s="133">
        <f t="shared" si="6"/>
        <v>8.0734093475227697E-2</v>
      </c>
      <c r="AC21" s="132">
        <f t="shared" si="7"/>
        <v>18581.64</v>
      </c>
      <c r="AD21" s="133">
        <f t="shared" si="8"/>
        <v>0.84975833414505986</v>
      </c>
      <c r="AF21" s="127">
        <f>'App 4 - Recyclables'!V22+'App 4 - Recyclables'!AB22</f>
        <v>1519.92</v>
      </c>
      <c r="AG21" s="127">
        <f>'App 4 - Recyclables'!W22+'App 4 - Recyclables'!AC22</f>
        <v>617.48</v>
      </c>
      <c r="AH21" s="127">
        <f>'App 4 - Recyclables'!X22+'App 4 - Recyclables'!AD22</f>
        <v>902.43999999999994</v>
      </c>
      <c r="AI21" s="127">
        <f>'App 5 - Organics'!V21+'App 5 - Organics'!AD21</f>
        <v>3394.66</v>
      </c>
      <c r="AJ21" s="127">
        <f>'App 5 - Organics'!W21+'App 5 - Organics'!AE21</f>
        <v>3394.66</v>
      </c>
      <c r="AK21" s="127">
        <f>'App 5 - Organics'!X21+'App 5 - Organics'!AF21</f>
        <v>0</v>
      </c>
      <c r="AL21" s="128">
        <f>'App 6 - Residual Waste'!AC21+'App 6 - Residual Waste'!AI21</f>
        <v>18581.64</v>
      </c>
      <c r="AM21" s="128">
        <f>'App 6 - Residual Waste'!AD21+'App 6 - Residual Waste'!AJ21</f>
        <v>25.050000000001091</v>
      </c>
      <c r="AN21" s="128">
        <f>'App 6 - Residual Waste'!AE21+'App 6 - Residual Waste'!AK21</f>
        <v>18556.59</v>
      </c>
      <c r="AO21" s="121"/>
      <c r="AP21" s="128">
        <f t="shared" si="10"/>
        <v>23496.22</v>
      </c>
      <c r="AQ21" s="128">
        <f t="shared" si="11"/>
        <v>4037.190000000001</v>
      </c>
      <c r="AR21" s="128">
        <f t="shared" si="12"/>
        <v>19459.03</v>
      </c>
      <c r="AS21" s="129">
        <f t="shared" si="13"/>
        <v>0.17182295705436879</v>
      </c>
    </row>
    <row r="22" spans="1:45" ht="15.75" x14ac:dyDescent="0.25">
      <c r="A22" s="8">
        <v>11300</v>
      </c>
      <c r="B22" s="8" t="s">
        <v>85</v>
      </c>
      <c r="C22" s="8" t="s">
        <v>17</v>
      </c>
      <c r="D22" s="29" t="s">
        <v>2</v>
      </c>
      <c r="E22" s="126"/>
      <c r="F22" s="127">
        <f>'App 4 - Recyclables'!V23</f>
        <v>2098.7499999999995</v>
      </c>
      <c r="G22" s="127">
        <f>'App 4 - Recyclables'!W23</f>
        <v>1874.34</v>
      </c>
      <c r="H22" s="127">
        <f>'App 4 - Recyclables'!X23</f>
        <v>224.41</v>
      </c>
      <c r="I22" s="127">
        <f>'App 5 - Organics'!V22</f>
        <v>2492.38</v>
      </c>
      <c r="J22" s="127">
        <f>'App 5 - Organics'!W22</f>
        <v>2432.38</v>
      </c>
      <c r="K22" s="127">
        <f>'App 5 - Organics'!X22</f>
        <v>60</v>
      </c>
      <c r="L22" s="128">
        <f>'App 6 - Residual Waste'!AC22</f>
        <v>9242.1299999999992</v>
      </c>
      <c r="M22" s="128">
        <f>'App 6 - Residual Waste'!AD22</f>
        <v>3367.3599999999997</v>
      </c>
      <c r="N22" s="128">
        <f>'App 6 - Residual Waste'!AE22</f>
        <v>5874.7699999999995</v>
      </c>
      <c r="O22" s="121"/>
      <c r="P22" s="128">
        <f t="shared" si="0"/>
        <v>13833.259999999998</v>
      </c>
      <c r="Q22" s="128">
        <f t="shared" si="0"/>
        <v>7674.08</v>
      </c>
      <c r="R22" s="128">
        <f t="shared" si="0"/>
        <v>6159.1799999999994</v>
      </c>
      <c r="S22" s="129">
        <f t="shared" si="1"/>
        <v>0.55475571195799112</v>
      </c>
      <c r="U22" s="130">
        <f>(P22*1000)/'App 1 - Services'!F22/52</f>
        <v>6.2596882387225454</v>
      </c>
      <c r="V22" s="130">
        <f>(P22*1000)/'App 1 - Services'!G22/52</f>
        <v>17.789503194411576</v>
      </c>
      <c r="X22" s="131">
        <f t="shared" si="2"/>
        <v>0.55475571195799112</v>
      </c>
      <c r="Y22" s="132">
        <f t="shared" si="3"/>
        <v>2098.7499999999995</v>
      </c>
      <c r="Z22" s="133">
        <f t="shared" si="4"/>
        <v>0.15171767175633219</v>
      </c>
      <c r="AA22" s="132">
        <f t="shared" si="5"/>
        <v>2492.38</v>
      </c>
      <c r="AB22" s="133">
        <f t="shared" si="6"/>
        <v>0.18017300332676464</v>
      </c>
      <c r="AC22" s="132">
        <f t="shared" si="7"/>
        <v>9242.1299999999992</v>
      </c>
      <c r="AD22" s="133">
        <f t="shared" si="8"/>
        <v>0.66810932491690322</v>
      </c>
      <c r="AF22" s="127">
        <f>'App 4 - Recyclables'!V23+'App 4 - Recyclables'!AB23</f>
        <v>2098.7499999999995</v>
      </c>
      <c r="AG22" s="127">
        <f>'App 4 - Recyclables'!W23+'App 4 - Recyclables'!AC23</f>
        <v>1874.34</v>
      </c>
      <c r="AH22" s="127">
        <f>'App 4 - Recyclables'!X23+'App 4 - Recyclables'!AD23</f>
        <v>224.41</v>
      </c>
      <c r="AI22" s="127">
        <f>'App 5 - Organics'!V22+'App 5 - Organics'!AD22</f>
        <v>2492.38</v>
      </c>
      <c r="AJ22" s="127">
        <f>'App 5 - Organics'!W22+'App 5 - Organics'!AE22</f>
        <v>2432.38</v>
      </c>
      <c r="AK22" s="127">
        <f>'App 5 - Organics'!X22+'App 5 - Organics'!AF22</f>
        <v>60</v>
      </c>
      <c r="AL22" s="128">
        <f>'App 6 - Residual Waste'!AC22+'App 6 - Residual Waste'!AI22</f>
        <v>9422.1299999999992</v>
      </c>
      <c r="AM22" s="128">
        <f>'App 6 - Residual Waste'!AD22+'App 6 - Residual Waste'!AJ22</f>
        <v>3447.3599999999997</v>
      </c>
      <c r="AN22" s="128">
        <f>'App 6 - Residual Waste'!AE22+'App 6 - Residual Waste'!AK22</f>
        <v>5974.7699999999995</v>
      </c>
      <c r="AO22" s="121"/>
      <c r="AP22" s="128">
        <f t="shared" si="10"/>
        <v>14013.259999999998</v>
      </c>
      <c r="AQ22" s="128">
        <f t="shared" si="11"/>
        <v>7754.08</v>
      </c>
      <c r="AR22" s="128">
        <f t="shared" si="12"/>
        <v>6259.1799999999994</v>
      </c>
      <c r="AS22" s="129">
        <f t="shared" si="13"/>
        <v>0.55333876628279222</v>
      </c>
    </row>
    <row r="23" spans="1:45" ht="15.75" x14ac:dyDescent="0.25">
      <c r="A23" s="8">
        <v>11350</v>
      </c>
      <c r="B23" s="8" t="s">
        <v>86</v>
      </c>
      <c r="C23" s="8" t="s">
        <v>19</v>
      </c>
      <c r="D23" s="29" t="s">
        <v>3</v>
      </c>
      <c r="E23" s="126"/>
      <c r="F23" s="127">
        <f>'App 4 - Recyclables'!V24</f>
        <v>6484.7699999999995</v>
      </c>
      <c r="G23" s="127">
        <f>'App 4 - Recyclables'!W24</f>
        <v>6471.3499999999995</v>
      </c>
      <c r="H23" s="127">
        <f>'App 4 - Recyclables'!X24</f>
        <v>13.42</v>
      </c>
      <c r="I23" s="127">
        <f>'App 5 - Organics'!V23</f>
        <v>9008.14</v>
      </c>
      <c r="J23" s="127">
        <f>'App 5 - Organics'!W23</f>
        <v>9008.14</v>
      </c>
      <c r="K23" s="127">
        <f>'App 5 - Organics'!X23</f>
        <v>0</v>
      </c>
      <c r="L23" s="128">
        <f>'App 6 - Residual Waste'!AC23</f>
        <v>8837.0400000000009</v>
      </c>
      <c r="M23" s="128">
        <f>'App 6 - Residual Waste'!AD23</f>
        <v>111.17000000000007</v>
      </c>
      <c r="N23" s="128">
        <f>'App 6 - Residual Waste'!AE23</f>
        <v>8725.869999999999</v>
      </c>
      <c r="O23" s="121"/>
      <c r="P23" s="128">
        <f t="shared" si="0"/>
        <v>24329.95</v>
      </c>
      <c r="Q23" s="128">
        <f t="shared" si="0"/>
        <v>15590.659999999998</v>
      </c>
      <c r="R23" s="128">
        <f t="shared" si="0"/>
        <v>8739.2899999999991</v>
      </c>
      <c r="S23" s="129">
        <f t="shared" si="1"/>
        <v>0.64080115248901037</v>
      </c>
      <c r="U23" s="130">
        <f>(P23*1000)/'App 1 - Services'!F23/52</f>
        <v>12.60258723929736</v>
      </c>
      <c r="V23" s="130">
        <f>(P23*1000)/'App 1 - Services'!G23/52</f>
        <v>31.792053668964723</v>
      </c>
      <c r="X23" s="131">
        <f t="shared" si="2"/>
        <v>0.64080115248901037</v>
      </c>
      <c r="Y23" s="132">
        <f t="shared" si="3"/>
        <v>6484.7699999999995</v>
      </c>
      <c r="Z23" s="133">
        <f t="shared" si="4"/>
        <v>0.26653445650319868</v>
      </c>
      <c r="AA23" s="132">
        <f t="shared" si="5"/>
        <v>9008.14</v>
      </c>
      <c r="AB23" s="133">
        <f t="shared" si="6"/>
        <v>0.37024901407524469</v>
      </c>
      <c r="AC23" s="132">
        <f t="shared" si="7"/>
        <v>8837.0400000000009</v>
      </c>
      <c r="AD23" s="133">
        <f t="shared" si="8"/>
        <v>0.36321652942155658</v>
      </c>
      <c r="AF23" s="127">
        <f>'App 4 - Recyclables'!V24+'App 4 - Recyclables'!AB24</f>
        <v>6500.0899999999992</v>
      </c>
      <c r="AG23" s="127">
        <f>'App 4 - Recyclables'!W24+'App 4 - Recyclables'!AC24</f>
        <v>6471.6699999999992</v>
      </c>
      <c r="AH23" s="127">
        <f>'App 4 - Recyclables'!X24+'App 4 - Recyclables'!AD24</f>
        <v>28.42</v>
      </c>
      <c r="AI23" s="127">
        <f>'App 5 - Organics'!V23+'App 5 - Organics'!AD23</f>
        <v>9409.6899999999987</v>
      </c>
      <c r="AJ23" s="127">
        <f>'App 5 - Organics'!W23+'App 5 - Organics'!AE23</f>
        <v>9409.6899999999987</v>
      </c>
      <c r="AK23" s="127">
        <f>'App 5 - Organics'!X23+'App 5 - Organics'!AF23</f>
        <v>0</v>
      </c>
      <c r="AL23" s="128">
        <f>'App 6 - Residual Waste'!AC23+'App 6 - Residual Waste'!AI23</f>
        <v>9548.5600000000013</v>
      </c>
      <c r="AM23" s="128">
        <f>'App 6 - Residual Waste'!AD23+'App 6 - Residual Waste'!AJ23</f>
        <v>111.69000000000005</v>
      </c>
      <c r="AN23" s="128">
        <f>'App 6 - Residual Waste'!AE23+'App 6 - Residual Waste'!AK23</f>
        <v>9436.869999999999</v>
      </c>
      <c r="AO23" s="121"/>
      <c r="AP23" s="128">
        <f t="shared" si="10"/>
        <v>25458.34</v>
      </c>
      <c r="AQ23" s="128">
        <f t="shared" si="11"/>
        <v>15993.049999999997</v>
      </c>
      <c r="AR23" s="128">
        <f t="shared" si="12"/>
        <v>9465.2899999999991</v>
      </c>
      <c r="AS23" s="129">
        <f t="shared" si="13"/>
        <v>0.62820474547829896</v>
      </c>
    </row>
    <row r="24" spans="1:45" ht="15.75" x14ac:dyDescent="0.25">
      <c r="A24" s="8">
        <v>11400</v>
      </c>
      <c r="B24" s="8" t="s">
        <v>87</v>
      </c>
      <c r="C24" s="8" t="s">
        <v>38</v>
      </c>
      <c r="D24" s="29" t="s">
        <v>1</v>
      </c>
      <c r="E24" s="126"/>
      <c r="F24" s="127">
        <f>'App 4 - Recyclables'!V25</f>
        <v>1636.92</v>
      </c>
      <c r="G24" s="127">
        <f>'App 4 - Recyclables'!W25</f>
        <v>1636.92</v>
      </c>
      <c r="H24" s="127">
        <f>'App 4 - Recyclables'!X25</f>
        <v>0</v>
      </c>
      <c r="I24" s="127">
        <f>'App 5 - Organics'!V24</f>
        <v>187.04</v>
      </c>
      <c r="J24" s="127">
        <f>'App 5 - Organics'!W24</f>
        <v>187.04</v>
      </c>
      <c r="K24" s="127">
        <f>'App 5 - Organics'!X24</f>
        <v>0</v>
      </c>
      <c r="L24" s="128">
        <f>'App 6 - Residual Waste'!AC24</f>
        <v>4312.6099999999997</v>
      </c>
      <c r="M24" s="128">
        <f>'App 6 - Residual Waste'!AD24</f>
        <v>6</v>
      </c>
      <c r="N24" s="128">
        <f>'App 6 - Residual Waste'!AE24</f>
        <v>4306.6099999999997</v>
      </c>
      <c r="O24" s="121"/>
      <c r="P24" s="128">
        <f t="shared" si="0"/>
        <v>6136.57</v>
      </c>
      <c r="Q24" s="128">
        <f t="shared" si="0"/>
        <v>1829.96</v>
      </c>
      <c r="R24" s="128">
        <f t="shared" si="0"/>
        <v>4306.6099999999997</v>
      </c>
      <c r="S24" s="129">
        <f t="shared" si="1"/>
        <v>0.29820567515729474</v>
      </c>
      <c r="U24" s="130">
        <f>(P24*1000)/'App 1 - Services'!F24/52</f>
        <v>8.5022306583905998</v>
      </c>
      <c r="V24" s="130">
        <f>(P24*1000)/'App 1 - Services'!G24/52</f>
        <v>15.838271579447261</v>
      </c>
      <c r="X24" s="131">
        <f t="shared" si="2"/>
        <v>0.29820567515729474</v>
      </c>
      <c r="Y24" s="132">
        <f t="shared" si="3"/>
        <v>1636.92</v>
      </c>
      <c r="Z24" s="133">
        <f t="shared" si="4"/>
        <v>0.26674836268469199</v>
      </c>
      <c r="AA24" s="132">
        <f t="shared" si="5"/>
        <v>187.04</v>
      </c>
      <c r="AB24" s="133">
        <f t="shared" si="6"/>
        <v>3.0479567576023738E-2</v>
      </c>
      <c r="AC24" s="132">
        <f t="shared" si="7"/>
        <v>4312.6099999999997</v>
      </c>
      <c r="AD24" s="133">
        <f t="shared" si="8"/>
        <v>0.7027720697392843</v>
      </c>
      <c r="AF24" s="127">
        <f>'App 4 - Recyclables'!V25+'App 4 - Recyclables'!AB25</f>
        <v>1636.92</v>
      </c>
      <c r="AG24" s="127">
        <f>'App 4 - Recyclables'!W25+'App 4 - Recyclables'!AC25</f>
        <v>1636.92</v>
      </c>
      <c r="AH24" s="127">
        <f>'App 4 - Recyclables'!X25+'App 4 - Recyclables'!AD25</f>
        <v>0</v>
      </c>
      <c r="AI24" s="127">
        <f>'App 5 - Organics'!V24+'App 5 - Organics'!AD24</f>
        <v>187.04</v>
      </c>
      <c r="AJ24" s="127">
        <f>'App 5 - Organics'!W24+'App 5 - Organics'!AE24</f>
        <v>187.04</v>
      </c>
      <c r="AK24" s="127">
        <f>'App 5 - Organics'!X24+'App 5 - Organics'!AF24</f>
        <v>0</v>
      </c>
      <c r="AL24" s="128">
        <f>'App 6 - Residual Waste'!AC24+'App 6 - Residual Waste'!AI24</f>
        <v>4312.6099999999997</v>
      </c>
      <c r="AM24" s="128">
        <f>'App 6 - Residual Waste'!AD24+'App 6 - Residual Waste'!AJ24</f>
        <v>6</v>
      </c>
      <c r="AN24" s="128">
        <f>'App 6 - Residual Waste'!AE24+'App 6 - Residual Waste'!AK24</f>
        <v>4306.6099999999997</v>
      </c>
      <c r="AO24" s="121"/>
      <c r="AP24" s="128">
        <f t="shared" si="10"/>
        <v>6136.57</v>
      </c>
      <c r="AQ24" s="128">
        <f t="shared" si="11"/>
        <v>1829.96</v>
      </c>
      <c r="AR24" s="128">
        <f t="shared" si="12"/>
        <v>4306.6099999999997</v>
      </c>
      <c r="AS24" s="129">
        <f t="shared" si="13"/>
        <v>0.29820567515729474</v>
      </c>
    </row>
    <row r="25" spans="1:45" ht="15.75" x14ac:dyDescent="0.25">
      <c r="A25" s="8">
        <v>11450</v>
      </c>
      <c r="B25" s="8" t="s">
        <v>69</v>
      </c>
      <c r="C25" s="8" t="s">
        <v>182</v>
      </c>
      <c r="D25" s="29" t="s">
        <v>2</v>
      </c>
      <c r="E25" s="126"/>
      <c r="F25" s="127">
        <f>'App 4 - Recyclables'!V26</f>
        <v>13664.1</v>
      </c>
      <c r="G25" s="127">
        <f>'App 4 - Recyclables'!W26</f>
        <v>10871.36</v>
      </c>
      <c r="H25" s="127">
        <f>'App 4 - Recyclables'!X26</f>
        <v>2792.74</v>
      </c>
      <c r="I25" s="127">
        <f>'App 5 - Organics'!V25</f>
        <v>12607.26</v>
      </c>
      <c r="J25" s="127">
        <f>'App 5 - Organics'!W25</f>
        <v>12183.27</v>
      </c>
      <c r="K25" s="127">
        <f>'App 5 - Organics'!X25</f>
        <v>423.99</v>
      </c>
      <c r="L25" s="128">
        <f>'App 6 - Residual Waste'!AC25</f>
        <v>27511.46</v>
      </c>
      <c r="M25" s="128">
        <f>'App 6 - Residual Waste'!AD25</f>
        <v>10039.349999999999</v>
      </c>
      <c r="N25" s="128">
        <f>'App 6 - Residual Waste'!AE25</f>
        <v>17472.11</v>
      </c>
      <c r="O25" s="121"/>
      <c r="P25" s="128">
        <f t="shared" si="0"/>
        <v>53782.82</v>
      </c>
      <c r="Q25" s="128">
        <f t="shared" si="0"/>
        <v>33093.979999999996</v>
      </c>
      <c r="R25" s="128">
        <f t="shared" si="0"/>
        <v>20688.84</v>
      </c>
      <c r="S25" s="129">
        <f t="shared" si="1"/>
        <v>0.61532623242886852</v>
      </c>
      <c r="U25" s="130">
        <f>(P25*1000)/'App 1 - Services'!F25/52</f>
        <v>7.6721113262270881</v>
      </c>
      <c r="V25" s="130">
        <f>(P25*1000)/'App 1 - Services'!G25/52</f>
        <v>23.199089338985711</v>
      </c>
      <c r="X25" s="131">
        <f t="shared" si="2"/>
        <v>0.61532623242886852</v>
      </c>
      <c r="Y25" s="132">
        <f t="shared" si="3"/>
        <v>13664.1</v>
      </c>
      <c r="Z25" s="133">
        <f t="shared" si="4"/>
        <v>0.25406068331857645</v>
      </c>
      <c r="AA25" s="132">
        <f t="shared" si="5"/>
        <v>12607.26</v>
      </c>
      <c r="AB25" s="133">
        <f t="shared" si="6"/>
        <v>0.23441054225122446</v>
      </c>
      <c r="AC25" s="132">
        <f t="shared" si="7"/>
        <v>27511.46</v>
      </c>
      <c r="AD25" s="133">
        <f t="shared" si="8"/>
        <v>0.51152877443019906</v>
      </c>
      <c r="AF25" s="127">
        <f>'App 4 - Recyclables'!V26+'App 4 - Recyclables'!AB26</f>
        <v>13664.1</v>
      </c>
      <c r="AG25" s="127">
        <f>'App 4 - Recyclables'!W26+'App 4 - Recyclables'!AC26</f>
        <v>10871.36</v>
      </c>
      <c r="AH25" s="127">
        <f>'App 4 - Recyclables'!X26+'App 4 - Recyclables'!AD26</f>
        <v>2792.74</v>
      </c>
      <c r="AI25" s="127">
        <f>'App 5 - Organics'!V25+'App 5 - Organics'!AD25</f>
        <v>12687.76</v>
      </c>
      <c r="AJ25" s="127">
        <f>'App 5 - Organics'!W25+'App 5 - Organics'!AE25</f>
        <v>12263.77</v>
      </c>
      <c r="AK25" s="127">
        <f>'App 5 - Organics'!X25+'App 5 - Organics'!AF25</f>
        <v>423.99</v>
      </c>
      <c r="AL25" s="128">
        <f>'App 6 - Residual Waste'!AC25+'App 6 - Residual Waste'!AI25</f>
        <v>27941.96</v>
      </c>
      <c r="AM25" s="128">
        <f>'App 6 - Residual Waste'!AD25+'App 6 - Residual Waste'!AJ25</f>
        <v>10039.349999999999</v>
      </c>
      <c r="AN25" s="128">
        <f>'App 6 - Residual Waste'!AE25+'App 6 - Residual Waste'!AK25</f>
        <v>17902.61</v>
      </c>
      <c r="AO25" s="121"/>
      <c r="AP25" s="128">
        <f t="shared" si="10"/>
        <v>54293.82</v>
      </c>
      <c r="AQ25" s="128">
        <f t="shared" si="11"/>
        <v>33174.479999999996</v>
      </c>
      <c r="AR25" s="128">
        <f t="shared" si="12"/>
        <v>21119.34</v>
      </c>
      <c r="AS25" s="129">
        <f t="shared" si="13"/>
        <v>0.61101760752881262</v>
      </c>
    </row>
    <row r="26" spans="1:45" ht="15.75" x14ac:dyDescent="0.25">
      <c r="A26" s="8">
        <v>11500</v>
      </c>
      <c r="B26" s="8" t="s">
        <v>46</v>
      </c>
      <c r="C26" s="8" t="s">
        <v>182</v>
      </c>
      <c r="D26" s="29" t="s">
        <v>2</v>
      </c>
      <c r="E26" s="126"/>
      <c r="F26" s="127">
        <f>'App 4 - Recyclables'!V27</f>
        <v>13587.96</v>
      </c>
      <c r="G26" s="127">
        <f>'App 4 - Recyclables'!W27</f>
        <v>10637.04</v>
      </c>
      <c r="H26" s="127">
        <f>'App 4 - Recyclables'!X27</f>
        <v>2950.92</v>
      </c>
      <c r="I26" s="127">
        <f>'App 5 - Organics'!V26</f>
        <v>17808.099999999999</v>
      </c>
      <c r="J26" s="127">
        <f>'App 5 - Organics'!W26</f>
        <v>17196.37</v>
      </c>
      <c r="K26" s="127">
        <f>'App 5 - Organics'!X26</f>
        <v>611.73</v>
      </c>
      <c r="L26" s="128">
        <f>'App 6 - Residual Waste'!AC26</f>
        <v>47268.56</v>
      </c>
      <c r="M26" s="128">
        <f>'App 6 - Residual Waste'!AD26</f>
        <v>1.6</v>
      </c>
      <c r="N26" s="128">
        <f>'App 6 - Residual Waste'!AE26</f>
        <v>47266.96</v>
      </c>
      <c r="O26" s="121"/>
      <c r="P26" s="128">
        <f t="shared" si="0"/>
        <v>78664.62</v>
      </c>
      <c r="Q26" s="128">
        <f t="shared" si="0"/>
        <v>27835.01</v>
      </c>
      <c r="R26" s="128">
        <f t="shared" si="0"/>
        <v>50829.61</v>
      </c>
      <c r="S26" s="129">
        <f t="shared" si="1"/>
        <v>0.35384407882476265</v>
      </c>
      <c r="U26" s="130">
        <f>(P26*1000)/'App 1 - Services'!F26/52</f>
        <v>8.1867540146666045</v>
      </c>
      <c r="V26" s="130">
        <f>(P26*1000)/'App 1 - Services'!G26/52</f>
        <v>24.231637895981962</v>
      </c>
      <c r="X26" s="131">
        <f t="shared" si="2"/>
        <v>0.35384407882476265</v>
      </c>
      <c r="Y26" s="132">
        <f t="shared" si="3"/>
        <v>13587.96</v>
      </c>
      <c r="Z26" s="133">
        <f t="shared" si="4"/>
        <v>0.17273279906519601</v>
      </c>
      <c r="AA26" s="132">
        <f t="shared" si="5"/>
        <v>17808.099999999999</v>
      </c>
      <c r="AB26" s="133">
        <f t="shared" si="6"/>
        <v>0.22638004226042152</v>
      </c>
      <c r="AC26" s="132">
        <f t="shared" si="7"/>
        <v>47268.56</v>
      </c>
      <c r="AD26" s="133">
        <f t="shared" si="8"/>
        <v>0.60088715867438247</v>
      </c>
      <c r="AF26" s="127">
        <f>'App 4 - Recyclables'!V27+'App 4 - Recyclables'!AB27</f>
        <v>13587.96</v>
      </c>
      <c r="AG26" s="127">
        <f>'App 4 - Recyclables'!W27+'App 4 - Recyclables'!AC27</f>
        <v>10637.04</v>
      </c>
      <c r="AH26" s="127">
        <f>'App 4 - Recyclables'!X27+'App 4 - Recyclables'!AD27</f>
        <v>2950.92</v>
      </c>
      <c r="AI26" s="127">
        <f>'App 5 - Organics'!V26+'App 5 - Organics'!AD26</f>
        <v>17808.099999999999</v>
      </c>
      <c r="AJ26" s="127">
        <f>'App 5 - Organics'!W26+'App 5 - Organics'!AE26</f>
        <v>17196.37</v>
      </c>
      <c r="AK26" s="127">
        <f>'App 5 - Organics'!X26+'App 5 - Organics'!AF26</f>
        <v>611.73</v>
      </c>
      <c r="AL26" s="128">
        <f>'App 6 - Residual Waste'!AC26+'App 6 - Residual Waste'!AI26</f>
        <v>48758.559999999998</v>
      </c>
      <c r="AM26" s="128">
        <f>'App 6 - Residual Waste'!AD26+'App 6 - Residual Waste'!AJ26</f>
        <v>1401.6</v>
      </c>
      <c r="AN26" s="128">
        <f>'App 6 - Residual Waste'!AE26+'App 6 - Residual Waste'!AK26</f>
        <v>47356.959999999999</v>
      </c>
      <c r="AO26" s="121"/>
      <c r="AP26" s="128">
        <f t="shared" si="10"/>
        <v>80154.62</v>
      </c>
      <c r="AQ26" s="128">
        <f t="shared" si="11"/>
        <v>29235.01</v>
      </c>
      <c r="AR26" s="128">
        <f t="shared" si="12"/>
        <v>50919.61</v>
      </c>
      <c r="AS26" s="129">
        <f t="shared" si="13"/>
        <v>0.36473268789746616</v>
      </c>
    </row>
    <row r="27" spans="1:45" ht="15.75" x14ac:dyDescent="0.25">
      <c r="A27" s="8">
        <v>11520</v>
      </c>
      <c r="B27" s="8" t="s">
        <v>88</v>
      </c>
      <c r="C27" s="8" t="s">
        <v>17</v>
      </c>
      <c r="D27" s="29" t="s">
        <v>2</v>
      </c>
      <c r="E27" s="126"/>
      <c r="F27" s="127">
        <f>'App 4 - Recyclables'!V28</f>
        <v>9218.77</v>
      </c>
      <c r="G27" s="127">
        <f>'App 4 - Recyclables'!W28</f>
        <v>8548.119999999999</v>
      </c>
      <c r="H27" s="127">
        <f>'App 4 - Recyclables'!X28</f>
        <v>670.65</v>
      </c>
      <c r="I27" s="127">
        <f>'App 5 - Organics'!V27</f>
        <v>5321</v>
      </c>
      <c r="J27" s="127">
        <f>'App 5 - Organics'!W27</f>
        <v>5269.95</v>
      </c>
      <c r="K27" s="127">
        <f>'App 5 - Organics'!X27</f>
        <v>51.05</v>
      </c>
      <c r="L27" s="128">
        <f>'App 6 - Residual Waste'!AC27</f>
        <v>20978</v>
      </c>
      <c r="M27" s="128">
        <f>'App 6 - Residual Waste'!AD27</f>
        <v>847</v>
      </c>
      <c r="N27" s="128">
        <f>'App 6 - Residual Waste'!AE27</f>
        <v>20131</v>
      </c>
      <c r="O27" s="121"/>
      <c r="P27" s="128">
        <f t="shared" si="0"/>
        <v>35517.770000000004</v>
      </c>
      <c r="Q27" s="128">
        <f t="shared" si="0"/>
        <v>14665.07</v>
      </c>
      <c r="R27" s="128">
        <f t="shared" si="0"/>
        <v>20852.7</v>
      </c>
      <c r="S27" s="129">
        <f t="shared" si="1"/>
        <v>0.41289388382209802</v>
      </c>
      <c r="U27" s="130">
        <f>(P27*1000)/'App 1 - Services'!F27/52</f>
        <v>7.4742467413857696</v>
      </c>
      <c r="V27" s="130">
        <f>(P27*1000)/'App 1 - Services'!G27/52</f>
        <v>17.786418375645503</v>
      </c>
      <c r="X27" s="131">
        <f t="shared" si="2"/>
        <v>0.41289388382209802</v>
      </c>
      <c r="Y27" s="132">
        <f t="shared" si="3"/>
        <v>9218.77</v>
      </c>
      <c r="Z27" s="133">
        <f t="shared" si="4"/>
        <v>0.25955373887493499</v>
      </c>
      <c r="AA27" s="132">
        <f t="shared" si="5"/>
        <v>5321</v>
      </c>
      <c r="AB27" s="133">
        <f t="shared" si="6"/>
        <v>0.14981233337565955</v>
      </c>
      <c r="AC27" s="132">
        <f t="shared" si="7"/>
        <v>20978</v>
      </c>
      <c r="AD27" s="133">
        <f t="shared" si="8"/>
        <v>0.59063392774940537</v>
      </c>
      <c r="AF27" s="127">
        <f>'App 4 - Recyclables'!V28+'App 4 - Recyclables'!AB28</f>
        <v>9218.77</v>
      </c>
      <c r="AG27" s="127">
        <f>'App 4 - Recyclables'!W28+'App 4 - Recyclables'!AC28</f>
        <v>8548.119999999999</v>
      </c>
      <c r="AH27" s="127">
        <f>'App 4 - Recyclables'!X28+'App 4 - Recyclables'!AD28</f>
        <v>670.65</v>
      </c>
      <c r="AI27" s="127">
        <f>'App 5 - Organics'!V27+'App 5 - Organics'!AD27</f>
        <v>5376.5</v>
      </c>
      <c r="AJ27" s="127">
        <f>'App 5 - Organics'!W27+'App 5 - Organics'!AE27</f>
        <v>5325.45</v>
      </c>
      <c r="AK27" s="127">
        <f>'App 5 - Organics'!X27+'App 5 - Organics'!AF27</f>
        <v>51.05</v>
      </c>
      <c r="AL27" s="128">
        <f>'App 6 - Residual Waste'!AC27+'App 6 - Residual Waste'!AI27</f>
        <v>22033</v>
      </c>
      <c r="AM27" s="128">
        <f>'App 6 - Residual Waste'!AD27+'App 6 - Residual Waste'!AJ27</f>
        <v>847</v>
      </c>
      <c r="AN27" s="128">
        <f>'App 6 - Residual Waste'!AE27+'App 6 - Residual Waste'!AK27</f>
        <v>21186</v>
      </c>
      <c r="AO27" s="121"/>
      <c r="AP27" s="128">
        <f t="shared" si="10"/>
        <v>36628.270000000004</v>
      </c>
      <c r="AQ27" s="128">
        <f t="shared" si="11"/>
        <v>14720.57</v>
      </c>
      <c r="AR27" s="128">
        <f t="shared" si="12"/>
        <v>21907.7</v>
      </c>
      <c r="AS27" s="129">
        <f t="shared" si="13"/>
        <v>0.4018909437983284</v>
      </c>
    </row>
    <row r="28" spans="1:45" ht="15.75" x14ac:dyDescent="0.25">
      <c r="A28" s="8">
        <v>11570</v>
      </c>
      <c r="B28" s="8" t="s">
        <v>89</v>
      </c>
      <c r="C28" s="8" t="s">
        <v>17</v>
      </c>
      <c r="D28" s="29" t="s">
        <v>2</v>
      </c>
      <c r="E28" s="126"/>
      <c r="F28" s="127">
        <f>'App 4 - Recyclables'!V29</f>
        <v>26431.260000000002</v>
      </c>
      <c r="G28" s="127">
        <f>'App 4 - Recyclables'!W29</f>
        <v>26431.260000000002</v>
      </c>
      <c r="H28" s="127">
        <f>'App 4 - Recyclables'!X29</f>
        <v>0</v>
      </c>
      <c r="I28" s="127">
        <f>'App 5 - Organics'!V28</f>
        <v>31723.02</v>
      </c>
      <c r="J28" s="127">
        <f>'App 5 - Organics'!W28</f>
        <v>29867.82</v>
      </c>
      <c r="K28" s="127">
        <f>'App 5 - Organics'!X28</f>
        <v>1855.2</v>
      </c>
      <c r="L28" s="128">
        <f>'App 6 - Residual Waste'!AC28</f>
        <v>99261</v>
      </c>
      <c r="M28" s="128">
        <f>'App 6 - Residual Waste'!AD28</f>
        <v>3870.8999999999996</v>
      </c>
      <c r="N28" s="128">
        <f>'App 6 - Residual Waste'!AE28</f>
        <v>95390.1</v>
      </c>
      <c r="O28" s="121"/>
      <c r="P28" s="128">
        <f t="shared" si="0"/>
        <v>157415.28</v>
      </c>
      <c r="Q28" s="128">
        <f t="shared" si="0"/>
        <v>60169.98</v>
      </c>
      <c r="R28" s="128">
        <f t="shared" si="0"/>
        <v>97245.3</v>
      </c>
      <c r="S28" s="129">
        <f t="shared" si="1"/>
        <v>0.38223722627180795</v>
      </c>
      <c r="U28" s="130">
        <f>(P28*1000)/'App 1 - Services'!F28/52</f>
        <v>7.9699467999466158</v>
      </c>
      <c r="V28" s="130">
        <f>(P28*1000)/'App 1 - Services'!G28/52</f>
        <v>22.207348536319458</v>
      </c>
      <c r="X28" s="131">
        <f t="shared" si="2"/>
        <v>0.38223722627180795</v>
      </c>
      <c r="Y28" s="132">
        <f t="shared" si="3"/>
        <v>26431.260000000002</v>
      </c>
      <c r="Z28" s="133">
        <f t="shared" si="4"/>
        <v>0.1679078422374245</v>
      </c>
      <c r="AA28" s="132">
        <f t="shared" si="5"/>
        <v>31723.02</v>
      </c>
      <c r="AB28" s="133">
        <f t="shared" si="6"/>
        <v>0.2015244009349029</v>
      </c>
      <c r="AC28" s="132">
        <f t="shared" si="7"/>
        <v>99261</v>
      </c>
      <c r="AD28" s="133">
        <f t="shared" si="8"/>
        <v>0.63056775682767263</v>
      </c>
      <c r="AF28" s="127">
        <f>'App 4 - Recyclables'!V29+'App 4 - Recyclables'!AB29</f>
        <v>26431.260000000002</v>
      </c>
      <c r="AG28" s="127">
        <f>'App 4 - Recyclables'!W29+'App 4 - Recyclables'!AC29</f>
        <v>26431.260000000002</v>
      </c>
      <c r="AH28" s="127">
        <f>'App 4 - Recyclables'!X29+'App 4 - Recyclables'!AD29</f>
        <v>0</v>
      </c>
      <c r="AI28" s="127">
        <f>'App 5 - Organics'!V28+'App 5 - Organics'!AD28</f>
        <v>32759.02</v>
      </c>
      <c r="AJ28" s="127">
        <f>'App 5 - Organics'!W28+'App 5 - Organics'!AE28</f>
        <v>30903.82</v>
      </c>
      <c r="AK28" s="127">
        <f>'App 5 - Organics'!X28+'App 5 - Organics'!AF28</f>
        <v>1855.2</v>
      </c>
      <c r="AL28" s="128">
        <f>'App 6 - Residual Waste'!AC28+'App 6 - Residual Waste'!AI28</f>
        <v>99261</v>
      </c>
      <c r="AM28" s="128">
        <f>'App 6 - Residual Waste'!AD28+'App 6 - Residual Waste'!AJ28</f>
        <v>3870.8999999999996</v>
      </c>
      <c r="AN28" s="128">
        <f>'App 6 - Residual Waste'!AE28+'App 6 - Residual Waste'!AK28</f>
        <v>95390.1</v>
      </c>
      <c r="AO28" s="121"/>
      <c r="AP28" s="128">
        <f t="shared" si="10"/>
        <v>158451.28</v>
      </c>
      <c r="AQ28" s="128">
        <f t="shared" si="11"/>
        <v>61205.98</v>
      </c>
      <c r="AR28" s="128">
        <f t="shared" si="12"/>
        <v>97245.3</v>
      </c>
      <c r="AS28" s="129">
        <f t="shared" si="13"/>
        <v>0.38627633680207574</v>
      </c>
    </row>
    <row r="29" spans="1:45" ht="15.75" x14ac:dyDescent="0.25">
      <c r="A29" s="8">
        <v>11600</v>
      </c>
      <c r="B29" s="8" t="s">
        <v>90</v>
      </c>
      <c r="C29" s="8" t="s">
        <v>68</v>
      </c>
      <c r="D29" s="29" t="s">
        <v>1</v>
      </c>
      <c r="E29" s="126"/>
      <c r="F29" s="127">
        <f>'App 4 - Recyclables'!V30</f>
        <v>5.0199999999999996</v>
      </c>
      <c r="G29" s="127">
        <f>'App 4 - Recyclables'!W30</f>
        <v>5.0199999999999996</v>
      </c>
      <c r="H29" s="127">
        <f>'App 4 - Recyclables'!X30</f>
        <v>0</v>
      </c>
      <c r="I29" s="127">
        <f>'App 5 - Organics'!V29</f>
        <v>0</v>
      </c>
      <c r="J29" s="127">
        <f>'App 5 - Organics'!W29</f>
        <v>0</v>
      </c>
      <c r="K29" s="127">
        <f>'App 5 - Organics'!X29</f>
        <v>0</v>
      </c>
      <c r="L29" s="128">
        <f>'App 6 - Residual Waste'!AC29</f>
        <v>754</v>
      </c>
      <c r="M29" s="128">
        <f>'App 6 - Residual Waste'!AD29</f>
        <v>0</v>
      </c>
      <c r="N29" s="128">
        <f>'App 6 - Residual Waste'!AE29</f>
        <v>754</v>
      </c>
      <c r="O29" s="121"/>
      <c r="P29" s="128">
        <f t="shared" si="0"/>
        <v>759.02</v>
      </c>
      <c r="Q29" s="128">
        <f t="shared" si="0"/>
        <v>5.0199999999999996</v>
      </c>
      <c r="R29" s="128">
        <f t="shared" si="0"/>
        <v>754</v>
      </c>
      <c r="S29" s="129">
        <f t="shared" si="1"/>
        <v>6.6137914679455087E-3</v>
      </c>
      <c r="U29" s="130">
        <f>(P29*1000)/'App 1 - Services'!F29/52</f>
        <v>5.2790374182779241</v>
      </c>
      <c r="V29" s="130">
        <f>(P29*1000)/'App 1 - Services'!G29/52</f>
        <v>10.646636368737026</v>
      </c>
      <c r="X29" s="131">
        <f t="shared" si="2"/>
        <v>6.6137914679455087E-3</v>
      </c>
      <c r="Y29" s="132">
        <f t="shared" si="3"/>
        <v>5.0199999999999996</v>
      </c>
      <c r="Z29" s="133">
        <f t="shared" si="4"/>
        <v>6.6137914679455087E-3</v>
      </c>
      <c r="AA29" s="132">
        <f t="shared" si="5"/>
        <v>0</v>
      </c>
      <c r="AB29" s="133">
        <f t="shared" si="6"/>
        <v>0</v>
      </c>
      <c r="AC29" s="132">
        <f t="shared" si="7"/>
        <v>754</v>
      </c>
      <c r="AD29" s="133">
        <f t="shared" si="8"/>
        <v>0.9933862085320545</v>
      </c>
      <c r="AF29" s="127">
        <f>'App 4 - Recyclables'!V30+'App 4 - Recyclables'!AB30</f>
        <v>5.0199999999999996</v>
      </c>
      <c r="AG29" s="127">
        <f>'App 4 - Recyclables'!W30+'App 4 - Recyclables'!AC30</f>
        <v>5.0199999999999996</v>
      </c>
      <c r="AH29" s="127">
        <f>'App 4 - Recyclables'!X30+'App 4 - Recyclables'!AD30</f>
        <v>0</v>
      </c>
      <c r="AI29" s="127">
        <f>'App 5 - Organics'!V29+'App 5 - Organics'!AD29</f>
        <v>0</v>
      </c>
      <c r="AJ29" s="127">
        <f>'App 5 - Organics'!W29+'App 5 - Organics'!AE29</f>
        <v>0</v>
      </c>
      <c r="AK29" s="127">
        <f>'App 5 - Organics'!X29+'App 5 - Organics'!AF29</f>
        <v>0</v>
      </c>
      <c r="AL29" s="128">
        <f>'App 6 - Residual Waste'!AC29+'App 6 - Residual Waste'!AI29</f>
        <v>754</v>
      </c>
      <c r="AM29" s="128">
        <f>'App 6 - Residual Waste'!AD29+'App 6 - Residual Waste'!AJ29</f>
        <v>0</v>
      </c>
      <c r="AN29" s="128">
        <f>'App 6 - Residual Waste'!AE29+'App 6 - Residual Waste'!AK29</f>
        <v>754</v>
      </c>
      <c r="AO29" s="121"/>
      <c r="AP29" s="128">
        <f t="shared" si="10"/>
        <v>759.02</v>
      </c>
      <c r="AQ29" s="128">
        <f t="shared" si="11"/>
        <v>5.0199999999999996</v>
      </c>
      <c r="AR29" s="128">
        <f t="shared" si="12"/>
        <v>754</v>
      </c>
      <c r="AS29" s="129">
        <f t="shared" si="13"/>
        <v>6.6137914679455087E-3</v>
      </c>
    </row>
    <row r="30" spans="1:45" ht="15.75" x14ac:dyDescent="0.25">
      <c r="A30" s="8">
        <v>11650</v>
      </c>
      <c r="B30" s="8" t="s">
        <v>91</v>
      </c>
      <c r="C30" s="8" t="s">
        <v>23</v>
      </c>
      <c r="D30" s="29" t="s">
        <v>2</v>
      </c>
      <c r="E30" s="126"/>
      <c r="F30" s="127">
        <f>'App 4 - Recyclables'!V31</f>
        <v>37774.99</v>
      </c>
      <c r="G30" s="127">
        <f>'App 4 - Recyclables'!W31</f>
        <v>35849.99</v>
      </c>
      <c r="H30" s="127">
        <f>'App 4 - Recyclables'!X31</f>
        <v>1925</v>
      </c>
      <c r="I30" s="127">
        <f>'App 5 - Organics'!V30</f>
        <v>46326</v>
      </c>
      <c r="J30" s="127">
        <f>'App 5 - Organics'!W30</f>
        <v>46218</v>
      </c>
      <c r="K30" s="127">
        <f>'App 5 - Organics'!X30</f>
        <v>108</v>
      </c>
      <c r="L30" s="128">
        <f>'App 6 - Residual Waste'!AC30</f>
        <v>117487</v>
      </c>
      <c r="M30" s="128">
        <f>'App 6 - Residual Waste'!AD30</f>
        <v>0</v>
      </c>
      <c r="N30" s="128">
        <f>'App 6 - Residual Waste'!AE30</f>
        <v>117487</v>
      </c>
      <c r="O30" s="121"/>
      <c r="P30" s="128">
        <f t="shared" si="0"/>
        <v>201587.99</v>
      </c>
      <c r="Q30" s="128">
        <f t="shared" si="0"/>
        <v>82067.989999999991</v>
      </c>
      <c r="R30" s="128">
        <f t="shared" si="0"/>
        <v>119520</v>
      </c>
      <c r="S30" s="129">
        <f t="shared" si="1"/>
        <v>0.40710753651544418</v>
      </c>
      <c r="U30" s="130">
        <f>(P30*1000)/'App 1 - Services'!F30/52</f>
        <v>11.015395259862972</v>
      </c>
      <c r="V30" s="130">
        <f>(P30*1000)/'App 1 - Services'!G30/52</f>
        <v>25.719616765085785</v>
      </c>
      <c r="X30" s="131">
        <f t="shared" si="2"/>
        <v>0.40710753651544418</v>
      </c>
      <c r="Y30" s="132">
        <f t="shared" si="3"/>
        <v>37774.99</v>
      </c>
      <c r="Z30" s="133">
        <f t="shared" si="4"/>
        <v>0.18738710574970266</v>
      </c>
      <c r="AA30" s="132">
        <f t="shared" si="5"/>
        <v>46326</v>
      </c>
      <c r="AB30" s="133">
        <f t="shared" si="6"/>
        <v>0.22980535695603693</v>
      </c>
      <c r="AC30" s="132">
        <f t="shared" si="7"/>
        <v>117487</v>
      </c>
      <c r="AD30" s="133">
        <f t="shared" si="8"/>
        <v>0.58280753729426049</v>
      </c>
      <c r="AF30" s="127">
        <f>'App 4 - Recyclables'!V31+'App 4 - Recyclables'!AB31</f>
        <v>37774.99</v>
      </c>
      <c r="AG30" s="127">
        <f>'App 4 - Recyclables'!W31+'App 4 - Recyclables'!AC31</f>
        <v>35849.99</v>
      </c>
      <c r="AH30" s="127">
        <f>'App 4 - Recyclables'!X31+'App 4 - Recyclables'!AD31</f>
        <v>1925</v>
      </c>
      <c r="AI30" s="127">
        <f>'App 5 - Organics'!V30+'App 5 - Organics'!AD30</f>
        <v>46326</v>
      </c>
      <c r="AJ30" s="127">
        <f>'App 5 - Organics'!W30+'App 5 - Organics'!AE30</f>
        <v>46218</v>
      </c>
      <c r="AK30" s="127">
        <f>'App 5 - Organics'!X30+'App 5 - Organics'!AF30</f>
        <v>108</v>
      </c>
      <c r="AL30" s="128">
        <f>'App 6 - Residual Waste'!AC30+'App 6 - Residual Waste'!AI30</f>
        <v>122176</v>
      </c>
      <c r="AM30" s="128">
        <f>'App 6 - Residual Waste'!AD30+'App 6 - Residual Waste'!AJ30</f>
        <v>0</v>
      </c>
      <c r="AN30" s="128">
        <f>'App 6 - Residual Waste'!AE30+'App 6 - Residual Waste'!AK30</f>
        <v>122176</v>
      </c>
      <c r="AO30" s="121"/>
      <c r="AP30" s="128">
        <f t="shared" si="10"/>
        <v>206276.99</v>
      </c>
      <c r="AQ30" s="128">
        <f t="shared" si="11"/>
        <v>82067.989999999991</v>
      </c>
      <c r="AR30" s="128">
        <f t="shared" si="12"/>
        <v>124209</v>
      </c>
      <c r="AS30" s="129">
        <f t="shared" si="13"/>
        <v>0.39785334273105299</v>
      </c>
    </row>
    <row r="31" spans="1:45" ht="15.75" x14ac:dyDescent="0.25">
      <c r="A31" s="8">
        <v>11700</v>
      </c>
      <c r="B31" s="8" t="s">
        <v>92</v>
      </c>
      <c r="C31" s="8" t="s">
        <v>38</v>
      </c>
      <c r="D31" s="29" t="s">
        <v>1</v>
      </c>
      <c r="E31" s="126"/>
      <c r="F31" s="127">
        <f>'App 4 - Recyclables'!V32</f>
        <v>192.05</v>
      </c>
      <c r="G31" s="127">
        <f>'App 4 - Recyclables'!W32</f>
        <v>192.05</v>
      </c>
      <c r="H31" s="127">
        <f>'App 4 - Recyclables'!X32</f>
        <v>0</v>
      </c>
      <c r="I31" s="127">
        <f>'App 5 - Organics'!V31</f>
        <v>40</v>
      </c>
      <c r="J31" s="127">
        <f>'App 5 - Organics'!W31</f>
        <v>40</v>
      </c>
      <c r="K31" s="127">
        <f>'App 5 - Organics'!X31</f>
        <v>0</v>
      </c>
      <c r="L31" s="128">
        <f>'App 6 - Residual Waste'!AC31</f>
        <v>654</v>
      </c>
      <c r="M31" s="128">
        <f>'App 6 - Residual Waste'!AD31</f>
        <v>279</v>
      </c>
      <c r="N31" s="128">
        <f>'App 6 - Residual Waste'!AE31</f>
        <v>375</v>
      </c>
      <c r="O31" s="121"/>
      <c r="P31" s="128">
        <f t="shared" si="0"/>
        <v>886.05</v>
      </c>
      <c r="Q31" s="128">
        <f t="shared" si="0"/>
        <v>511.05</v>
      </c>
      <c r="R31" s="128">
        <f t="shared" si="0"/>
        <v>375</v>
      </c>
      <c r="S31" s="129">
        <f t="shared" si="1"/>
        <v>0.57677331979007962</v>
      </c>
      <c r="U31" s="130">
        <f>(P31*1000)/'App 1 - Services'!F31/52</f>
        <v>9.6980211024035725</v>
      </c>
      <c r="V31" s="130">
        <f>(P31*1000)/'App 1 - Services'!G31/52</f>
        <v>16.151111921254103</v>
      </c>
      <c r="X31" s="131">
        <f t="shared" si="2"/>
        <v>0.57677331979007962</v>
      </c>
      <c r="Y31" s="132">
        <f t="shared" si="3"/>
        <v>192.05</v>
      </c>
      <c r="Z31" s="133">
        <f t="shared" si="4"/>
        <v>0.21674849049150727</v>
      </c>
      <c r="AA31" s="132">
        <f t="shared" si="5"/>
        <v>40</v>
      </c>
      <c r="AB31" s="133">
        <f t="shared" si="6"/>
        <v>4.5144179222391514E-2</v>
      </c>
      <c r="AC31" s="132">
        <f t="shared" si="7"/>
        <v>654</v>
      </c>
      <c r="AD31" s="133">
        <f t="shared" si="8"/>
        <v>0.73810733028610132</v>
      </c>
      <c r="AF31" s="127">
        <f>'App 4 - Recyclables'!V32+'App 4 - Recyclables'!AB32</f>
        <v>192.05</v>
      </c>
      <c r="AG31" s="127">
        <f>'App 4 - Recyclables'!W32+'App 4 - Recyclables'!AC32</f>
        <v>192.05</v>
      </c>
      <c r="AH31" s="127">
        <f>'App 4 - Recyclables'!X32+'App 4 - Recyclables'!AD32</f>
        <v>0</v>
      </c>
      <c r="AI31" s="127">
        <f>'App 5 - Organics'!V31+'App 5 - Organics'!AD31</f>
        <v>40</v>
      </c>
      <c r="AJ31" s="127">
        <f>'App 5 - Organics'!W31+'App 5 - Organics'!AE31</f>
        <v>40</v>
      </c>
      <c r="AK31" s="127">
        <f>'App 5 - Organics'!X31+'App 5 - Organics'!AF31</f>
        <v>0</v>
      </c>
      <c r="AL31" s="128">
        <f>'App 6 - Residual Waste'!AC31+'App 6 - Residual Waste'!AI31</f>
        <v>654</v>
      </c>
      <c r="AM31" s="128">
        <f>'App 6 - Residual Waste'!AD31+'App 6 - Residual Waste'!AJ31</f>
        <v>279</v>
      </c>
      <c r="AN31" s="128">
        <f>'App 6 - Residual Waste'!AE31+'App 6 - Residual Waste'!AK31</f>
        <v>375</v>
      </c>
      <c r="AO31" s="121"/>
      <c r="AP31" s="128">
        <f t="shared" si="10"/>
        <v>886.05</v>
      </c>
      <c r="AQ31" s="128">
        <f t="shared" si="11"/>
        <v>511.05</v>
      </c>
      <c r="AR31" s="128">
        <f t="shared" si="12"/>
        <v>375</v>
      </c>
      <c r="AS31" s="129">
        <f t="shared" si="13"/>
        <v>0.57677331979007962</v>
      </c>
    </row>
    <row r="32" spans="1:45" ht="15.75" x14ac:dyDescent="0.25">
      <c r="A32" s="8">
        <v>11720</v>
      </c>
      <c r="B32" s="8" t="s">
        <v>93</v>
      </c>
      <c r="C32" s="8" t="s">
        <v>23</v>
      </c>
      <c r="D32" s="29" t="s">
        <v>2</v>
      </c>
      <c r="E32" s="126"/>
      <c r="F32" s="127">
        <f>'App 4 - Recyclables'!V33</f>
        <v>7596.78</v>
      </c>
      <c r="G32" s="127">
        <f>'App 4 - Recyclables'!W33</f>
        <v>7268.38</v>
      </c>
      <c r="H32" s="127">
        <f>'App 4 - Recyclables'!X33</f>
        <v>328.4</v>
      </c>
      <c r="I32" s="127">
        <f>'App 5 - Organics'!V32</f>
        <v>8015.2</v>
      </c>
      <c r="J32" s="127">
        <f>'App 5 - Organics'!W32</f>
        <v>7990.0999999999995</v>
      </c>
      <c r="K32" s="127">
        <f>'App 5 - Organics'!X32</f>
        <v>25.1</v>
      </c>
      <c r="L32" s="128">
        <f>'App 6 - Residual Waste'!AC32</f>
        <v>27150</v>
      </c>
      <c r="M32" s="128">
        <f>'App 6 - Residual Waste'!AD32</f>
        <v>17</v>
      </c>
      <c r="N32" s="128">
        <f>'App 6 - Residual Waste'!AE32</f>
        <v>27133</v>
      </c>
      <c r="O32" s="121"/>
      <c r="P32" s="128">
        <f t="shared" si="0"/>
        <v>42761.979999999996</v>
      </c>
      <c r="Q32" s="128">
        <f t="shared" si="0"/>
        <v>15275.48</v>
      </c>
      <c r="R32" s="128">
        <f t="shared" si="0"/>
        <v>27486.5</v>
      </c>
      <c r="S32" s="129">
        <f t="shared" si="1"/>
        <v>0.35722106413220345</v>
      </c>
      <c r="U32" s="130">
        <f>(P32*1000)/'App 1 - Services'!F32/52</f>
        <v>12.166498043094037</v>
      </c>
      <c r="V32" s="130">
        <f>(P32*1000)/'App 1 - Services'!G32/52</f>
        <v>28.152884944565869</v>
      </c>
      <c r="X32" s="131">
        <f t="shared" si="2"/>
        <v>0.35722106413220345</v>
      </c>
      <c r="Y32" s="132">
        <f t="shared" si="3"/>
        <v>7596.78</v>
      </c>
      <c r="Z32" s="133">
        <f t="shared" si="4"/>
        <v>0.17765267183605624</v>
      </c>
      <c r="AA32" s="132">
        <f t="shared" si="5"/>
        <v>8015.2</v>
      </c>
      <c r="AB32" s="133">
        <f t="shared" si="6"/>
        <v>0.18743753212550029</v>
      </c>
      <c r="AC32" s="132">
        <f t="shared" si="7"/>
        <v>27150</v>
      </c>
      <c r="AD32" s="133">
        <f t="shared" si="8"/>
        <v>0.63490979603844355</v>
      </c>
      <c r="AF32" s="127">
        <f>'App 4 - Recyclables'!V33+'App 4 - Recyclables'!AB33</f>
        <v>7666.58</v>
      </c>
      <c r="AG32" s="127">
        <f>'App 4 - Recyclables'!W33+'App 4 - Recyclables'!AC33</f>
        <v>7338.18</v>
      </c>
      <c r="AH32" s="127">
        <f>'App 4 - Recyclables'!X33+'App 4 - Recyclables'!AD33</f>
        <v>328.4</v>
      </c>
      <c r="AI32" s="127">
        <f>'App 5 - Organics'!V32+'App 5 - Organics'!AD32</f>
        <v>8187.2</v>
      </c>
      <c r="AJ32" s="127">
        <f>'App 5 - Organics'!W32+'App 5 - Organics'!AE32</f>
        <v>8162.0999999999995</v>
      </c>
      <c r="AK32" s="127">
        <f>'App 5 - Organics'!X32+'App 5 - Organics'!AF32</f>
        <v>25.1</v>
      </c>
      <c r="AL32" s="128">
        <f>'App 6 - Residual Waste'!AC32+'App 6 - Residual Waste'!AI32</f>
        <v>29171</v>
      </c>
      <c r="AM32" s="128">
        <f>'App 6 - Residual Waste'!AD32+'App 6 - Residual Waste'!AJ32</f>
        <v>17</v>
      </c>
      <c r="AN32" s="128">
        <f>'App 6 - Residual Waste'!AE32+'App 6 - Residual Waste'!AK32</f>
        <v>29154</v>
      </c>
      <c r="AO32" s="121"/>
      <c r="AP32" s="128">
        <f t="shared" si="10"/>
        <v>45024.78</v>
      </c>
      <c r="AQ32" s="128">
        <f t="shared" si="11"/>
        <v>15517.279999999999</v>
      </c>
      <c r="AR32" s="128">
        <f t="shared" si="12"/>
        <v>29507.5</v>
      </c>
      <c r="AS32" s="129">
        <f t="shared" si="13"/>
        <v>0.34463866342045424</v>
      </c>
    </row>
    <row r="33" spans="1:45" ht="15.75" x14ac:dyDescent="0.25">
      <c r="A33" s="8">
        <v>11730</v>
      </c>
      <c r="B33" s="8" t="s">
        <v>94</v>
      </c>
      <c r="C33" s="8" t="s">
        <v>19</v>
      </c>
      <c r="D33" s="29" t="s">
        <v>3</v>
      </c>
      <c r="E33" s="126"/>
      <c r="F33" s="127">
        <f>'App 4 - Recyclables'!V34</f>
        <v>7978.63</v>
      </c>
      <c r="G33" s="127">
        <f>'App 4 - Recyclables'!W34</f>
        <v>7767.2300000000005</v>
      </c>
      <c r="H33" s="127">
        <f>'App 4 - Recyclables'!X34</f>
        <v>211.4</v>
      </c>
      <c r="I33" s="127">
        <f>'App 5 - Organics'!V33</f>
        <v>10806</v>
      </c>
      <c r="J33" s="127">
        <f>'App 5 - Organics'!W33</f>
        <v>10725.51</v>
      </c>
      <c r="K33" s="127">
        <f>'App 5 - Organics'!X33</f>
        <v>80.489999999999995</v>
      </c>
      <c r="L33" s="128">
        <f>'App 6 - Residual Waste'!AC33</f>
        <v>11175</v>
      </c>
      <c r="M33" s="128">
        <f>'App 6 - Residual Waste'!AD33</f>
        <v>0</v>
      </c>
      <c r="N33" s="128">
        <f>'App 6 - Residual Waste'!AE33</f>
        <v>11175</v>
      </c>
      <c r="O33" s="121"/>
      <c r="P33" s="128">
        <f t="shared" si="0"/>
        <v>29959.63</v>
      </c>
      <c r="Q33" s="128">
        <f t="shared" si="0"/>
        <v>18492.740000000002</v>
      </c>
      <c r="R33" s="128">
        <f t="shared" si="0"/>
        <v>11466.89</v>
      </c>
      <c r="S33" s="129">
        <f t="shared" si="1"/>
        <v>0.61725528653057471</v>
      </c>
      <c r="U33" s="130">
        <f>(P33*1000)/'App 1 - Services'!F33/52</f>
        <v>10.414235142151199</v>
      </c>
      <c r="V33" s="130">
        <f>(P33*1000)/'App 1 - Services'!G33/52</f>
        <v>21.041844007495374</v>
      </c>
      <c r="X33" s="131">
        <f t="shared" si="2"/>
        <v>0.61725528653057471</v>
      </c>
      <c r="Y33" s="132">
        <f t="shared" si="3"/>
        <v>7978.63</v>
      </c>
      <c r="Z33" s="133">
        <f t="shared" si="4"/>
        <v>0.26631270145859609</v>
      </c>
      <c r="AA33" s="132">
        <f t="shared" si="5"/>
        <v>10806</v>
      </c>
      <c r="AB33" s="133">
        <f t="shared" si="6"/>
        <v>0.3606853622691602</v>
      </c>
      <c r="AC33" s="132">
        <f t="shared" si="7"/>
        <v>11175</v>
      </c>
      <c r="AD33" s="133">
        <f t="shared" si="8"/>
        <v>0.37300193627224365</v>
      </c>
      <c r="AF33" s="127">
        <f>'App 4 - Recyclables'!V34+'App 4 - Recyclables'!AB34</f>
        <v>7978.63</v>
      </c>
      <c r="AG33" s="127">
        <f>'App 4 - Recyclables'!W34+'App 4 - Recyclables'!AC34</f>
        <v>7767.2300000000005</v>
      </c>
      <c r="AH33" s="127">
        <f>'App 4 - Recyclables'!X34+'App 4 - Recyclables'!AD34</f>
        <v>211.4</v>
      </c>
      <c r="AI33" s="127">
        <f>'App 5 - Organics'!V33+'App 5 - Organics'!AD33</f>
        <v>10806</v>
      </c>
      <c r="AJ33" s="127">
        <f>'App 5 - Organics'!W33+'App 5 - Organics'!AE33</f>
        <v>10725.51</v>
      </c>
      <c r="AK33" s="127">
        <f>'App 5 - Organics'!X33+'App 5 - Organics'!AF33</f>
        <v>80.489999999999995</v>
      </c>
      <c r="AL33" s="128">
        <f>'App 6 - Residual Waste'!AC33+'App 6 - Residual Waste'!AI33</f>
        <v>11175</v>
      </c>
      <c r="AM33" s="128">
        <f>'App 6 - Residual Waste'!AD33+'App 6 - Residual Waste'!AJ33</f>
        <v>0</v>
      </c>
      <c r="AN33" s="128">
        <f>'App 6 - Residual Waste'!AE33+'App 6 - Residual Waste'!AK33</f>
        <v>11175</v>
      </c>
      <c r="AO33" s="121"/>
      <c r="AP33" s="128">
        <f t="shared" si="10"/>
        <v>29959.63</v>
      </c>
      <c r="AQ33" s="128">
        <f t="shared" si="11"/>
        <v>18492.740000000002</v>
      </c>
      <c r="AR33" s="128">
        <f t="shared" si="12"/>
        <v>11466.89</v>
      </c>
      <c r="AS33" s="129">
        <f t="shared" si="13"/>
        <v>0.61725528653057471</v>
      </c>
    </row>
    <row r="34" spans="1:45" ht="15.75" x14ac:dyDescent="0.25">
      <c r="A34" s="8">
        <v>11750</v>
      </c>
      <c r="B34" s="8" t="s">
        <v>95</v>
      </c>
      <c r="C34" s="8" t="s">
        <v>38</v>
      </c>
      <c r="D34" s="29" t="s">
        <v>1</v>
      </c>
      <c r="E34" s="126"/>
      <c r="F34" s="127">
        <f>'App 4 - Recyclables'!V35</f>
        <v>37.57</v>
      </c>
      <c r="G34" s="127">
        <f>'App 4 - Recyclables'!W35</f>
        <v>37.57</v>
      </c>
      <c r="H34" s="127">
        <f>'App 4 - Recyclables'!X35</f>
        <v>0</v>
      </c>
      <c r="I34" s="127">
        <f>'App 5 - Organics'!V34</f>
        <v>0</v>
      </c>
      <c r="J34" s="127">
        <f>'App 5 - Organics'!W34</f>
        <v>0</v>
      </c>
      <c r="K34" s="127">
        <f>'App 5 - Organics'!X34</f>
        <v>0</v>
      </c>
      <c r="L34" s="128">
        <f>'App 6 - Residual Waste'!AC34</f>
        <v>883</v>
      </c>
      <c r="M34" s="128">
        <f>'App 6 - Residual Waste'!AD34</f>
        <v>0</v>
      </c>
      <c r="N34" s="128">
        <f>'App 6 - Residual Waste'!AE34</f>
        <v>883</v>
      </c>
      <c r="O34" s="121"/>
      <c r="P34" s="128">
        <f t="shared" si="0"/>
        <v>920.57</v>
      </c>
      <c r="Q34" s="128">
        <f t="shared" si="0"/>
        <v>37.57</v>
      </c>
      <c r="R34" s="128">
        <f t="shared" si="0"/>
        <v>883</v>
      </c>
      <c r="S34" s="129">
        <f t="shared" si="1"/>
        <v>4.0811671029905384E-2</v>
      </c>
      <c r="U34" s="130">
        <f>(P34*1000)/'App 1 - Services'!F34/52</f>
        <v>4.3411645980307094</v>
      </c>
      <c r="V34" s="130">
        <f>(P34*1000)/'App 1 - Services'!G34/52</f>
        <v>6.1555178132020965</v>
      </c>
      <c r="X34" s="131">
        <f t="shared" si="2"/>
        <v>4.0811671029905384E-2</v>
      </c>
      <c r="Y34" s="132">
        <f t="shared" si="3"/>
        <v>37.57</v>
      </c>
      <c r="Z34" s="133">
        <f t="shared" si="4"/>
        <v>4.0811671029905384E-2</v>
      </c>
      <c r="AA34" s="132">
        <f t="shared" si="5"/>
        <v>0</v>
      </c>
      <c r="AB34" s="133">
        <f t="shared" si="6"/>
        <v>0</v>
      </c>
      <c r="AC34" s="132">
        <f t="shared" si="7"/>
        <v>883</v>
      </c>
      <c r="AD34" s="133">
        <f t="shared" si="8"/>
        <v>0.95918832897009454</v>
      </c>
      <c r="AF34" s="127">
        <f>'App 4 - Recyclables'!V35+'App 4 - Recyclables'!AB35</f>
        <v>37.57</v>
      </c>
      <c r="AG34" s="127">
        <f>'App 4 - Recyclables'!W35+'App 4 - Recyclables'!AC35</f>
        <v>37.57</v>
      </c>
      <c r="AH34" s="127">
        <f>'App 4 - Recyclables'!X35+'App 4 - Recyclables'!AD35</f>
        <v>0</v>
      </c>
      <c r="AI34" s="127">
        <f>'App 5 - Organics'!V34+'App 5 - Organics'!AD34</f>
        <v>0</v>
      </c>
      <c r="AJ34" s="127">
        <f>'App 5 - Organics'!W34+'App 5 - Organics'!AE34</f>
        <v>0</v>
      </c>
      <c r="AK34" s="127">
        <f>'App 5 - Organics'!X34+'App 5 - Organics'!AF34</f>
        <v>0</v>
      </c>
      <c r="AL34" s="128">
        <f>'App 6 - Residual Waste'!AC34+'App 6 - Residual Waste'!AI34</f>
        <v>883</v>
      </c>
      <c r="AM34" s="128">
        <f>'App 6 - Residual Waste'!AD34+'App 6 - Residual Waste'!AJ34</f>
        <v>0</v>
      </c>
      <c r="AN34" s="128">
        <f>'App 6 - Residual Waste'!AE34+'App 6 - Residual Waste'!AK34</f>
        <v>883</v>
      </c>
      <c r="AO34" s="121"/>
      <c r="AP34" s="128">
        <f t="shared" si="10"/>
        <v>920.57</v>
      </c>
      <c r="AQ34" s="128">
        <f t="shared" si="11"/>
        <v>37.57</v>
      </c>
      <c r="AR34" s="128">
        <f t="shared" si="12"/>
        <v>883</v>
      </c>
      <c r="AS34" s="129">
        <f t="shared" si="13"/>
        <v>4.0811671029905384E-2</v>
      </c>
    </row>
    <row r="35" spans="1:45" ht="15.75" x14ac:dyDescent="0.25">
      <c r="A35" s="8">
        <v>11800</v>
      </c>
      <c r="B35" s="8" t="s">
        <v>42</v>
      </c>
      <c r="C35" s="8" t="s">
        <v>39</v>
      </c>
      <c r="D35" s="29" t="s">
        <v>3</v>
      </c>
      <c r="E35" s="126"/>
      <c r="F35" s="127">
        <f>'App 4 - Recyclables'!V36</f>
        <v>10855.52</v>
      </c>
      <c r="G35" s="127">
        <f>'App 4 - Recyclables'!W36</f>
        <v>10387.76</v>
      </c>
      <c r="H35" s="127">
        <f>'App 4 - Recyclables'!X36</f>
        <v>467.76</v>
      </c>
      <c r="I35" s="127">
        <f>'App 5 - Organics'!V35</f>
        <v>14702.99</v>
      </c>
      <c r="J35" s="127">
        <f>'App 5 - Organics'!W35</f>
        <v>14469.03</v>
      </c>
      <c r="K35" s="127">
        <f>'App 5 - Organics'!X35</f>
        <v>233.96</v>
      </c>
      <c r="L35" s="128">
        <f>'App 6 - Residual Waste'!AC35</f>
        <v>25273.78</v>
      </c>
      <c r="M35" s="128">
        <f>'App 6 - Residual Waste'!AD35</f>
        <v>0</v>
      </c>
      <c r="N35" s="128">
        <f>'App 6 - Residual Waste'!AE35</f>
        <v>25273.78</v>
      </c>
      <c r="O35" s="121"/>
      <c r="P35" s="128">
        <f t="shared" si="0"/>
        <v>50832.29</v>
      </c>
      <c r="Q35" s="128">
        <f t="shared" si="0"/>
        <v>24856.79</v>
      </c>
      <c r="R35" s="128">
        <f t="shared" si="0"/>
        <v>25975.5</v>
      </c>
      <c r="S35" s="129">
        <f t="shared" si="1"/>
        <v>0.48899606923079797</v>
      </c>
      <c r="U35" s="130">
        <f>(P35*1000)/'App 1 - Services'!F35/52</f>
        <v>12.145063778423616</v>
      </c>
      <c r="V35" s="130">
        <f>(P35*1000)/'App 1 - Services'!G35/52</f>
        <v>28.843764965965551</v>
      </c>
      <c r="X35" s="131">
        <f t="shared" si="2"/>
        <v>0.48899606923079797</v>
      </c>
      <c r="Y35" s="132">
        <f t="shared" si="3"/>
        <v>10855.52</v>
      </c>
      <c r="Z35" s="133">
        <f t="shared" si="4"/>
        <v>0.21355559625584447</v>
      </c>
      <c r="AA35" s="132">
        <f t="shared" si="5"/>
        <v>14702.99</v>
      </c>
      <c r="AB35" s="133">
        <f t="shared" si="6"/>
        <v>0.28924508417779327</v>
      </c>
      <c r="AC35" s="132">
        <f t="shared" si="7"/>
        <v>25273.78</v>
      </c>
      <c r="AD35" s="133">
        <f t="shared" si="8"/>
        <v>0.49719931956636221</v>
      </c>
      <c r="AF35" s="127">
        <f>'App 4 - Recyclables'!V36+'App 4 - Recyclables'!AB36</f>
        <v>10855.52</v>
      </c>
      <c r="AG35" s="127">
        <f>'App 4 - Recyclables'!W36+'App 4 - Recyclables'!AC36</f>
        <v>10387.76</v>
      </c>
      <c r="AH35" s="127">
        <f>'App 4 - Recyclables'!X36+'App 4 - Recyclables'!AD36</f>
        <v>467.76</v>
      </c>
      <c r="AI35" s="127">
        <f>'App 5 - Organics'!V35+'App 5 - Organics'!AD35</f>
        <v>14702.99</v>
      </c>
      <c r="AJ35" s="127">
        <f>'App 5 - Organics'!W35+'App 5 - Organics'!AE35</f>
        <v>14469.03</v>
      </c>
      <c r="AK35" s="127">
        <f>'App 5 - Organics'!X35+'App 5 - Organics'!AF35</f>
        <v>233.96</v>
      </c>
      <c r="AL35" s="128">
        <f>'App 6 - Residual Waste'!AC35+'App 6 - Residual Waste'!AI35</f>
        <v>25286.28</v>
      </c>
      <c r="AM35" s="128">
        <f>'App 6 - Residual Waste'!AD35+'App 6 - Residual Waste'!AJ35</f>
        <v>0</v>
      </c>
      <c r="AN35" s="128">
        <f>'App 6 - Residual Waste'!AE35+'App 6 - Residual Waste'!AK35</f>
        <v>25286.28</v>
      </c>
      <c r="AO35" s="121"/>
      <c r="AP35" s="128">
        <f t="shared" si="10"/>
        <v>50844.79</v>
      </c>
      <c r="AQ35" s="128">
        <f t="shared" si="11"/>
        <v>24856.79</v>
      </c>
      <c r="AR35" s="128">
        <f t="shared" si="12"/>
        <v>25988</v>
      </c>
      <c r="AS35" s="129">
        <f t="shared" si="13"/>
        <v>0.48887585139008344</v>
      </c>
    </row>
    <row r="36" spans="1:45" ht="15.75" x14ac:dyDescent="0.25">
      <c r="A36" s="8">
        <v>12000</v>
      </c>
      <c r="B36" s="8" t="s">
        <v>96</v>
      </c>
      <c r="C36" s="8" t="s">
        <v>21</v>
      </c>
      <c r="D36" s="29" t="s">
        <v>1</v>
      </c>
      <c r="E36" s="126"/>
      <c r="F36" s="127">
        <f>'App 4 - Recyclables'!V37</f>
        <v>1444.64</v>
      </c>
      <c r="G36" s="127">
        <f>'App 4 - Recyclables'!W37</f>
        <v>1444.64</v>
      </c>
      <c r="H36" s="127">
        <f>'App 4 - Recyclables'!X37</f>
        <v>0</v>
      </c>
      <c r="I36" s="127">
        <f>'App 5 - Organics'!V36</f>
        <v>768</v>
      </c>
      <c r="J36" s="127">
        <f>'App 5 - Organics'!W36</f>
        <v>688</v>
      </c>
      <c r="K36" s="127">
        <f>'App 5 - Organics'!X36</f>
        <v>80</v>
      </c>
      <c r="L36" s="128">
        <f>'App 6 - Residual Waste'!AC36</f>
        <v>1228</v>
      </c>
      <c r="M36" s="128">
        <f>'App 6 - Residual Waste'!AD36</f>
        <v>23</v>
      </c>
      <c r="N36" s="128">
        <f>'App 6 - Residual Waste'!AE36</f>
        <v>1205</v>
      </c>
      <c r="O36" s="121"/>
      <c r="P36" s="128">
        <f t="shared" si="0"/>
        <v>3440.6400000000003</v>
      </c>
      <c r="Q36" s="128">
        <f t="shared" si="0"/>
        <v>2155.6400000000003</v>
      </c>
      <c r="R36" s="128">
        <f t="shared" si="0"/>
        <v>1285</v>
      </c>
      <c r="S36" s="129">
        <f t="shared" si="1"/>
        <v>0.62652297247023814</v>
      </c>
      <c r="U36" s="130">
        <f>(P36*1000)/'App 1 - Services'!F36/52</f>
        <v>14.54520858345875</v>
      </c>
      <c r="V36" s="130">
        <f>(P36*1000)/'App 1 - Services'!G36/52</f>
        <v>36.636851520572456</v>
      </c>
      <c r="X36" s="131">
        <f t="shared" si="2"/>
        <v>0.62652297247023814</v>
      </c>
      <c r="Y36" s="132">
        <f t="shared" si="3"/>
        <v>1444.64</v>
      </c>
      <c r="Z36" s="133">
        <f t="shared" si="4"/>
        <v>0.41987537202380953</v>
      </c>
      <c r="AA36" s="132">
        <f t="shared" si="5"/>
        <v>768</v>
      </c>
      <c r="AB36" s="133">
        <f t="shared" si="6"/>
        <v>0.2232142857142857</v>
      </c>
      <c r="AC36" s="132">
        <f t="shared" si="7"/>
        <v>1228</v>
      </c>
      <c r="AD36" s="133">
        <f t="shared" si="8"/>
        <v>0.35691034226190471</v>
      </c>
      <c r="AF36" s="127">
        <f>'App 4 - Recyclables'!V37+'App 4 - Recyclables'!AB37</f>
        <v>1444.64</v>
      </c>
      <c r="AG36" s="127">
        <f>'App 4 - Recyclables'!W37+'App 4 - Recyclables'!AC37</f>
        <v>1444.64</v>
      </c>
      <c r="AH36" s="127">
        <f>'App 4 - Recyclables'!X37+'App 4 - Recyclables'!AD37</f>
        <v>0</v>
      </c>
      <c r="AI36" s="127">
        <f>'App 5 - Organics'!V36+'App 5 - Organics'!AD36</f>
        <v>768</v>
      </c>
      <c r="AJ36" s="127">
        <f>'App 5 - Organics'!W36+'App 5 - Organics'!AE36</f>
        <v>688</v>
      </c>
      <c r="AK36" s="127">
        <f>'App 5 - Organics'!X36+'App 5 - Organics'!AF36</f>
        <v>80</v>
      </c>
      <c r="AL36" s="128">
        <f>'App 6 - Residual Waste'!AC36+'App 6 - Residual Waste'!AI36</f>
        <v>1228</v>
      </c>
      <c r="AM36" s="128">
        <f>'App 6 - Residual Waste'!AD36+'App 6 - Residual Waste'!AJ36</f>
        <v>23</v>
      </c>
      <c r="AN36" s="128">
        <f>'App 6 - Residual Waste'!AE36+'App 6 - Residual Waste'!AK36</f>
        <v>1205</v>
      </c>
      <c r="AO36" s="121"/>
      <c r="AP36" s="128">
        <f t="shared" si="10"/>
        <v>3440.6400000000003</v>
      </c>
      <c r="AQ36" s="128">
        <f t="shared" si="11"/>
        <v>2155.6400000000003</v>
      </c>
      <c r="AR36" s="128">
        <f t="shared" si="12"/>
        <v>1285</v>
      </c>
      <c r="AS36" s="129">
        <f t="shared" si="13"/>
        <v>0.62652297247023814</v>
      </c>
    </row>
    <row r="37" spans="1:45" ht="15.75" x14ac:dyDescent="0.25">
      <c r="A37" s="8">
        <v>12150</v>
      </c>
      <c r="B37" s="8" t="s">
        <v>97</v>
      </c>
      <c r="C37" s="8" t="s">
        <v>38</v>
      </c>
      <c r="D37" s="29" t="s">
        <v>1</v>
      </c>
      <c r="E37" s="126"/>
      <c r="F37" s="127">
        <f>'App 4 - Recyclables'!V38</f>
        <v>62.53</v>
      </c>
      <c r="G37" s="127">
        <f>'App 4 - Recyclables'!W38</f>
        <v>62.53</v>
      </c>
      <c r="H37" s="127">
        <f>'App 4 - Recyclables'!X38</f>
        <v>0</v>
      </c>
      <c r="I37" s="127">
        <f>'App 5 - Organics'!V37</f>
        <v>0</v>
      </c>
      <c r="J37" s="127">
        <f>'App 5 - Organics'!W37</f>
        <v>0</v>
      </c>
      <c r="K37" s="127">
        <f>'App 5 - Organics'!X37</f>
        <v>0</v>
      </c>
      <c r="L37" s="128">
        <f>'App 6 - Residual Waste'!AC37</f>
        <v>4000</v>
      </c>
      <c r="M37" s="128">
        <f>'App 6 - Residual Waste'!AD37</f>
        <v>0</v>
      </c>
      <c r="N37" s="128">
        <f>'App 6 - Residual Waste'!AE37</f>
        <v>4000</v>
      </c>
      <c r="O37" s="121"/>
      <c r="P37" s="128">
        <f t="shared" ref="P37:R68" si="14">F37+I37+L37</f>
        <v>4062.53</v>
      </c>
      <c r="Q37" s="128">
        <f t="shared" si="14"/>
        <v>62.53</v>
      </c>
      <c r="R37" s="128">
        <f t="shared" si="14"/>
        <v>4000</v>
      </c>
      <c r="S37" s="129">
        <f t="shared" si="1"/>
        <v>1.5391886336839359E-2</v>
      </c>
      <c r="U37" s="130">
        <f>(P37*1000)/'App 1 - Services'!F37/52</f>
        <v>20.23454465762158</v>
      </c>
      <c r="V37" s="130">
        <f>(P37*1000)/'App 1 - Services'!G37/52</f>
        <v>27.59645952775589</v>
      </c>
      <c r="X37" s="131">
        <f t="shared" si="2"/>
        <v>1.5391886336839359E-2</v>
      </c>
      <c r="Y37" s="132">
        <f t="shared" si="3"/>
        <v>62.53</v>
      </c>
      <c r="Z37" s="133">
        <f t="shared" si="4"/>
        <v>1.5391886336839359E-2</v>
      </c>
      <c r="AA37" s="132">
        <f t="shared" si="5"/>
        <v>0</v>
      </c>
      <c r="AB37" s="133">
        <f t="shared" si="6"/>
        <v>0</v>
      </c>
      <c r="AC37" s="132">
        <f t="shared" si="7"/>
        <v>4000</v>
      </c>
      <c r="AD37" s="133">
        <f t="shared" si="8"/>
        <v>0.98460811366316059</v>
      </c>
      <c r="AF37" s="127">
        <f>'App 4 - Recyclables'!V38+'App 4 - Recyclables'!AB38</f>
        <v>112.53</v>
      </c>
      <c r="AG37" s="127">
        <f>'App 4 - Recyclables'!W38+'App 4 - Recyclables'!AC38</f>
        <v>62.53</v>
      </c>
      <c r="AH37" s="127">
        <f>'App 4 - Recyclables'!X38+'App 4 - Recyclables'!AD38</f>
        <v>50</v>
      </c>
      <c r="AI37" s="127">
        <f>'App 5 - Organics'!V37+'App 5 - Organics'!AD37</f>
        <v>100</v>
      </c>
      <c r="AJ37" s="127">
        <f>'App 5 - Organics'!W37+'App 5 - Organics'!AE37</f>
        <v>100</v>
      </c>
      <c r="AK37" s="127">
        <f>'App 5 - Organics'!X37+'App 5 - Organics'!AF37</f>
        <v>0</v>
      </c>
      <c r="AL37" s="128">
        <f>'App 6 - Residual Waste'!AC37+'App 6 - Residual Waste'!AI37</f>
        <v>4200</v>
      </c>
      <c r="AM37" s="128">
        <f>'App 6 - Residual Waste'!AD37+'App 6 - Residual Waste'!AJ37</f>
        <v>0</v>
      </c>
      <c r="AN37" s="128">
        <f>'App 6 - Residual Waste'!AE37+'App 6 - Residual Waste'!AK37</f>
        <v>4200</v>
      </c>
      <c r="AO37" s="121"/>
      <c r="AP37" s="128">
        <f t="shared" si="10"/>
        <v>4412.53</v>
      </c>
      <c r="AQ37" s="128">
        <f t="shared" si="11"/>
        <v>162.53</v>
      </c>
      <c r="AR37" s="128">
        <f t="shared" si="12"/>
        <v>4250</v>
      </c>
      <c r="AS37" s="129">
        <f t="shared" si="13"/>
        <v>3.6833743906557012E-2</v>
      </c>
    </row>
    <row r="38" spans="1:45" ht="15.75" x14ac:dyDescent="0.25">
      <c r="A38" s="8">
        <v>12160</v>
      </c>
      <c r="B38" s="8" t="s">
        <v>98</v>
      </c>
      <c r="C38" s="8" t="s">
        <v>21</v>
      </c>
      <c r="D38" s="29" t="s">
        <v>1</v>
      </c>
      <c r="E38" s="126"/>
      <c r="F38" s="127">
        <f>'App 4 - Recyclables'!V39</f>
        <v>1076.01</v>
      </c>
      <c r="G38" s="127">
        <f>'App 4 - Recyclables'!W39</f>
        <v>959.01</v>
      </c>
      <c r="H38" s="127">
        <f>'App 4 - Recyclables'!X39</f>
        <v>117</v>
      </c>
      <c r="I38" s="127">
        <f>'App 5 - Organics'!V38</f>
        <v>2085.56</v>
      </c>
      <c r="J38" s="127">
        <f>'App 5 - Organics'!W38</f>
        <v>2085.56</v>
      </c>
      <c r="K38" s="127">
        <f>'App 5 - Organics'!X38</f>
        <v>0</v>
      </c>
      <c r="L38" s="128">
        <f>'App 6 - Residual Waste'!AC38</f>
        <v>2896.94</v>
      </c>
      <c r="M38" s="128">
        <f>'App 6 - Residual Waste'!AD38</f>
        <v>0</v>
      </c>
      <c r="N38" s="128">
        <f>'App 6 - Residual Waste'!AE38</f>
        <v>2896.94</v>
      </c>
      <c r="O38" s="121"/>
      <c r="P38" s="128">
        <f t="shared" si="14"/>
        <v>6058.51</v>
      </c>
      <c r="Q38" s="128">
        <f t="shared" si="14"/>
        <v>3044.5699999999997</v>
      </c>
      <c r="R38" s="128">
        <f t="shared" si="14"/>
        <v>3013.94</v>
      </c>
      <c r="S38" s="129">
        <f t="shared" si="1"/>
        <v>0.50252784925666538</v>
      </c>
      <c r="U38" s="130">
        <f>(P38*1000)/'App 1 - Services'!F38/52</f>
        <v>10.198687648136179</v>
      </c>
      <c r="V38" s="130">
        <f>(P38*1000)/'App 1 - Services'!G38/52</f>
        <v>17.113661529422398</v>
      </c>
      <c r="X38" s="131">
        <f t="shared" si="2"/>
        <v>0.50252784925666538</v>
      </c>
      <c r="Y38" s="132">
        <f t="shared" si="3"/>
        <v>1076.01</v>
      </c>
      <c r="Z38" s="133">
        <f t="shared" si="4"/>
        <v>0.1776030740231509</v>
      </c>
      <c r="AA38" s="132">
        <f t="shared" si="5"/>
        <v>2085.56</v>
      </c>
      <c r="AB38" s="133">
        <f t="shared" si="6"/>
        <v>0.34423645417767734</v>
      </c>
      <c r="AC38" s="132">
        <f t="shared" si="7"/>
        <v>2896.94</v>
      </c>
      <c r="AD38" s="133">
        <f t="shared" si="8"/>
        <v>0.47816047179917176</v>
      </c>
      <c r="AF38" s="127">
        <f>'App 4 - Recyclables'!V39+'App 4 - Recyclables'!AB39</f>
        <v>1076.01</v>
      </c>
      <c r="AG38" s="127">
        <f>'App 4 - Recyclables'!W39+'App 4 - Recyclables'!AC39</f>
        <v>959.01</v>
      </c>
      <c r="AH38" s="127">
        <f>'App 4 - Recyclables'!X39+'App 4 - Recyclables'!AD39</f>
        <v>117</v>
      </c>
      <c r="AI38" s="127">
        <f>'App 5 - Organics'!V38+'App 5 - Organics'!AD38</f>
        <v>3240.56</v>
      </c>
      <c r="AJ38" s="127">
        <f>'App 5 - Organics'!W38+'App 5 - Organics'!AE38</f>
        <v>3240.56</v>
      </c>
      <c r="AK38" s="127">
        <f>'App 5 - Organics'!X38+'App 5 - Organics'!AF38</f>
        <v>0</v>
      </c>
      <c r="AL38" s="128">
        <f>'App 6 - Residual Waste'!AC38+'App 6 - Residual Waste'!AI38</f>
        <v>3655.94</v>
      </c>
      <c r="AM38" s="128">
        <f>'App 6 - Residual Waste'!AD38+'App 6 - Residual Waste'!AJ38</f>
        <v>-9.9999999999909051E-3</v>
      </c>
      <c r="AN38" s="128">
        <f>'App 6 - Residual Waste'!AE38+'App 6 - Residual Waste'!AK38</f>
        <v>3655.95</v>
      </c>
      <c r="AO38" s="121"/>
      <c r="AP38" s="128">
        <f t="shared" si="10"/>
        <v>7972.51</v>
      </c>
      <c r="AQ38" s="128">
        <f t="shared" si="11"/>
        <v>4199.5599999999995</v>
      </c>
      <c r="AR38" s="128">
        <f t="shared" si="12"/>
        <v>3772.95</v>
      </c>
      <c r="AS38" s="129">
        <f t="shared" si="13"/>
        <v>0.52675506208207945</v>
      </c>
    </row>
    <row r="39" spans="1:45" ht="15.75" x14ac:dyDescent="0.25">
      <c r="A39" s="8">
        <v>12350</v>
      </c>
      <c r="B39" s="8" t="s">
        <v>99</v>
      </c>
      <c r="C39" s="8" t="s">
        <v>38</v>
      </c>
      <c r="D39" s="29" t="s">
        <v>1</v>
      </c>
      <c r="E39" s="126"/>
      <c r="F39" s="127">
        <f>'App 4 - Recyclables'!V40</f>
        <v>1766.65</v>
      </c>
      <c r="G39" s="127">
        <f>'App 4 - Recyclables'!W40</f>
        <v>1330.44</v>
      </c>
      <c r="H39" s="127">
        <f>'App 4 - Recyclables'!X40</f>
        <v>436.21</v>
      </c>
      <c r="I39" s="127">
        <f>'App 5 - Organics'!V39</f>
        <v>1874.92</v>
      </c>
      <c r="J39" s="127">
        <f>'App 5 - Organics'!W39</f>
        <v>1874.92</v>
      </c>
      <c r="K39" s="127">
        <f>'App 5 - Organics'!X39</f>
        <v>0</v>
      </c>
      <c r="L39" s="128">
        <f>'App 6 - Residual Waste'!AC39</f>
        <v>4365.66</v>
      </c>
      <c r="M39" s="128">
        <f>'App 6 - Residual Waste'!AD39</f>
        <v>11.659999999999854</v>
      </c>
      <c r="N39" s="128">
        <f>'App 6 - Residual Waste'!AE39</f>
        <v>4354</v>
      </c>
      <c r="O39" s="121"/>
      <c r="P39" s="128">
        <f t="shared" si="14"/>
        <v>8007.23</v>
      </c>
      <c r="Q39" s="128">
        <f t="shared" si="14"/>
        <v>3217.02</v>
      </c>
      <c r="R39" s="128">
        <f t="shared" si="14"/>
        <v>4790.21</v>
      </c>
      <c r="S39" s="129">
        <f t="shared" si="1"/>
        <v>0.40176440541860298</v>
      </c>
      <c r="U39" s="130">
        <f>(P39*1000)/'App 1 - Services'!F39/52</f>
        <v>12.164088182928534</v>
      </c>
      <c r="V39" s="130">
        <f>(P39*1000)/'App 1 - Services'!G39/52</f>
        <v>20.255879019691175</v>
      </c>
      <c r="X39" s="131">
        <f t="shared" si="2"/>
        <v>0.40176440541860298</v>
      </c>
      <c r="Y39" s="132">
        <f t="shared" si="3"/>
        <v>1766.65</v>
      </c>
      <c r="Z39" s="133">
        <f t="shared" si="4"/>
        <v>0.22063185396198187</v>
      </c>
      <c r="AA39" s="132">
        <f t="shared" si="5"/>
        <v>1874.92</v>
      </c>
      <c r="AB39" s="133">
        <f t="shared" si="6"/>
        <v>0.23415338387931908</v>
      </c>
      <c r="AC39" s="132">
        <f t="shared" si="7"/>
        <v>4365.66</v>
      </c>
      <c r="AD39" s="133">
        <f t="shared" si="8"/>
        <v>0.54521476215869913</v>
      </c>
      <c r="AF39" s="127">
        <f>'App 4 - Recyclables'!V40+'App 4 - Recyclables'!AB40</f>
        <v>1766.65</v>
      </c>
      <c r="AG39" s="127">
        <f>'App 4 - Recyclables'!W40+'App 4 - Recyclables'!AC40</f>
        <v>1330.44</v>
      </c>
      <c r="AH39" s="127">
        <f>'App 4 - Recyclables'!X40+'App 4 - Recyclables'!AD40</f>
        <v>436.21</v>
      </c>
      <c r="AI39" s="127">
        <f>'App 5 - Organics'!V39+'App 5 - Organics'!AD39</f>
        <v>1874.92</v>
      </c>
      <c r="AJ39" s="127">
        <f>'App 5 - Organics'!W39+'App 5 - Organics'!AE39</f>
        <v>1874.92</v>
      </c>
      <c r="AK39" s="127">
        <f>'App 5 - Organics'!X39+'App 5 - Organics'!AF39</f>
        <v>0</v>
      </c>
      <c r="AL39" s="128">
        <f>'App 6 - Residual Waste'!AC39+'App 6 - Residual Waste'!AI39</f>
        <v>4365.66</v>
      </c>
      <c r="AM39" s="128">
        <f>'App 6 - Residual Waste'!AD39+'App 6 - Residual Waste'!AJ39</f>
        <v>11.659999999999854</v>
      </c>
      <c r="AN39" s="128">
        <f>'App 6 - Residual Waste'!AE39+'App 6 - Residual Waste'!AK39</f>
        <v>4354</v>
      </c>
      <c r="AO39" s="121"/>
      <c r="AP39" s="128">
        <f t="shared" si="10"/>
        <v>8007.23</v>
      </c>
      <c r="AQ39" s="128">
        <f t="shared" si="11"/>
        <v>3217.02</v>
      </c>
      <c r="AR39" s="128">
        <f t="shared" si="12"/>
        <v>4790.21</v>
      </c>
      <c r="AS39" s="129">
        <f t="shared" si="13"/>
        <v>0.40176440541860298</v>
      </c>
    </row>
    <row r="40" spans="1:45" ht="15.75" x14ac:dyDescent="0.25">
      <c r="A40" s="8">
        <v>12380</v>
      </c>
      <c r="B40" s="8" t="s">
        <v>47</v>
      </c>
      <c r="C40" s="8" t="s">
        <v>18</v>
      </c>
      <c r="D40" s="29" t="s">
        <v>2</v>
      </c>
      <c r="E40" s="126"/>
      <c r="F40" s="127">
        <f>'App 4 - Recyclables'!V41</f>
        <v>12111.44</v>
      </c>
      <c r="G40" s="127">
        <f>'App 4 - Recyclables'!W41</f>
        <v>11089.44</v>
      </c>
      <c r="H40" s="127">
        <f>'App 4 - Recyclables'!X41</f>
        <v>1022</v>
      </c>
      <c r="I40" s="127">
        <f>'App 5 - Organics'!V40</f>
        <v>7571</v>
      </c>
      <c r="J40" s="127">
        <f>'App 5 - Organics'!W40</f>
        <v>7420</v>
      </c>
      <c r="K40" s="127">
        <f>'App 5 - Organics'!X40</f>
        <v>151</v>
      </c>
      <c r="L40" s="128">
        <f>'App 6 - Residual Waste'!AC40</f>
        <v>67859</v>
      </c>
      <c r="M40" s="128">
        <f>'App 6 - Residual Waste'!AD40</f>
        <v>0</v>
      </c>
      <c r="N40" s="128">
        <f>'App 6 - Residual Waste'!AE40</f>
        <v>67859</v>
      </c>
      <c r="O40" s="121"/>
      <c r="P40" s="128">
        <f t="shared" si="14"/>
        <v>87541.440000000002</v>
      </c>
      <c r="Q40" s="128">
        <f t="shared" si="14"/>
        <v>18509.440000000002</v>
      </c>
      <c r="R40" s="128">
        <f t="shared" si="14"/>
        <v>69032</v>
      </c>
      <c r="S40" s="129">
        <f t="shared" si="1"/>
        <v>0.21143632090127831</v>
      </c>
      <c r="U40" s="130">
        <f>(P40*1000)/'App 1 - Services'!F40/52</f>
        <v>6.8623375336565706</v>
      </c>
      <c r="V40" s="130">
        <f>(P40*1000)/'App 1 - Services'!G40/52</f>
        <v>22.884377499751658</v>
      </c>
      <c r="X40" s="131">
        <f t="shared" si="2"/>
        <v>0.21143632090127831</v>
      </c>
      <c r="Y40" s="132">
        <f t="shared" si="3"/>
        <v>12111.44</v>
      </c>
      <c r="Z40" s="133">
        <f t="shared" si="4"/>
        <v>0.13835093414044822</v>
      </c>
      <c r="AA40" s="132">
        <f t="shared" si="5"/>
        <v>7571</v>
      </c>
      <c r="AB40" s="133">
        <f t="shared" si="6"/>
        <v>8.6484755105696226E-2</v>
      </c>
      <c r="AC40" s="132">
        <f t="shared" si="7"/>
        <v>67859</v>
      </c>
      <c r="AD40" s="133">
        <f t="shared" si="8"/>
        <v>0.7751643107538555</v>
      </c>
      <c r="AF40" s="127">
        <f>'App 4 - Recyclables'!V41+'App 4 - Recyclables'!AB41</f>
        <v>12111.44</v>
      </c>
      <c r="AG40" s="127">
        <f>'App 4 - Recyclables'!W41+'App 4 - Recyclables'!AC41</f>
        <v>11089.44</v>
      </c>
      <c r="AH40" s="127">
        <f>'App 4 - Recyclables'!X41+'App 4 - Recyclables'!AD41</f>
        <v>1022</v>
      </c>
      <c r="AI40" s="127">
        <f>'App 5 - Organics'!V40+'App 5 - Organics'!AD40</f>
        <v>7571</v>
      </c>
      <c r="AJ40" s="127">
        <f>'App 5 - Organics'!W40+'App 5 - Organics'!AE40</f>
        <v>7420</v>
      </c>
      <c r="AK40" s="127">
        <f>'App 5 - Organics'!X40+'App 5 - Organics'!AF40</f>
        <v>151</v>
      </c>
      <c r="AL40" s="128">
        <f>'App 6 - Residual Waste'!AC40+'App 6 - Residual Waste'!AI40</f>
        <v>67859</v>
      </c>
      <c r="AM40" s="128">
        <f>'App 6 - Residual Waste'!AD40+'App 6 - Residual Waste'!AJ40</f>
        <v>0</v>
      </c>
      <c r="AN40" s="128">
        <f>'App 6 - Residual Waste'!AE40+'App 6 - Residual Waste'!AK40</f>
        <v>67859</v>
      </c>
      <c r="AO40" s="121"/>
      <c r="AP40" s="128">
        <f t="shared" si="10"/>
        <v>87541.440000000002</v>
      </c>
      <c r="AQ40" s="128">
        <f t="shared" si="11"/>
        <v>18509.440000000002</v>
      </c>
      <c r="AR40" s="128">
        <f t="shared" si="12"/>
        <v>69032</v>
      </c>
      <c r="AS40" s="129">
        <f t="shared" si="13"/>
        <v>0.21143632090127831</v>
      </c>
    </row>
    <row r="41" spans="1:45" ht="15.75" x14ac:dyDescent="0.25">
      <c r="A41" s="8">
        <v>12390</v>
      </c>
      <c r="B41" s="8" t="s">
        <v>100</v>
      </c>
      <c r="C41" s="8" t="s">
        <v>38</v>
      </c>
      <c r="D41" s="29" t="s">
        <v>1</v>
      </c>
      <c r="E41" s="126"/>
      <c r="F41" s="127">
        <f>'App 4 - Recyclables'!V42</f>
        <v>4743.2800000000007</v>
      </c>
      <c r="G41" s="127">
        <f>'App 4 - Recyclables'!W42</f>
        <v>4348.96</v>
      </c>
      <c r="H41" s="127">
        <f>'App 4 - Recyclables'!X42</f>
        <v>394.32</v>
      </c>
      <c r="I41" s="127">
        <f>'App 5 - Organics'!V41</f>
        <v>6808.7</v>
      </c>
      <c r="J41" s="127">
        <f>'App 5 - Organics'!W41</f>
        <v>2120.2299999999996</v>
      </c>
      <c r="K41" s="127">
        <f>'App 5 - Organics'!X41</f>
        <v>4688.47</v>
      </c>
      <c r="L41" s="128">
        <f>'App 6 - Residual Waste'!AC41</f>
        <v>11547.54</v>
      </c>
      <c r="M41" s="128">
        <f>'App 6 - Residual Waste'!AD41</f>
        <v>0</v>
      </c>
      <c r="N41" s="128">
        <f>'App 6 - Residual Waste'!AE41</f>
        <v>11547.54</v>
      </c>
      <c r="O41" s="121"/>
      <c r="P41" s="128">
        <f t="shared" si="14"/>
        <v>23099.52</v>
      </c>
      <c r="Q41" s="128">
        <f t="shared" si="14"/>
        <v>6469.19</v>
      </c>
      <c r="R41" s="128">
        <f t="shared" si="14"/>
        <v>16630.330000000002</v>
      </c>
      <c r="S41" s="129">
        <f t="shared" si="1"/>
        <v>0.28005733452470005</v>
      </c>
      <c r="U41" s="130">
        <f>(P41*1000)/'App 1 - Services'!F41/52</f>
        <v>7.854265328716334</v>
      </c>
      <c r="V41" s="130">
        <f>(P41*1000)/'App 1 - Services'!G41/52</f>
        <v>21.252585324922901</v>
      </c>
      <c r="X41" s="131">
        <f t="shared" si="2"/>
        <v>0.28005733452470005</v>
      </c>
      <c r="Y41" s="132">
        <f t="shared" si="3"/>
        <v>4743.2800000000007</v>
      </c>
      <c r="Z41" s="133">
        <f t="shared" si="4"/>
        <v>0.20534106336408725</v>
      </c>
      <c r="AA41" s="132">
        <f t="shared" si="5"/>
        <v>6808.7</v>
      </c>
      <c r="AB41" s="133">
        <f t="shared" si="6"/>
        <v>0.29475504252902224</v>
      </c>
      <c r="AC41" s="132">
        <f t="shared" si="7"/>
        <v>11547.54</v>
      </c>
      <c r="AD41" s="133">
        <f t="shared" si="8"/>
        <v>0.49990389410689057</v>
      </c>
      <c r="AF41" s="127">
        <f>'App 4 - Recyclables'!V42+'App 4 - Recyclables'!AB42</f>
        <v>4777.2800000000007</v>
      </c>
      <c r="AG41" s="127">
        <f>'App 4 - Recyclables'!W42+'App 4 - Recyclables'!AC42</f>
        <v>4382.96</v>
      </c>
      <c r="AH41" s="127">
        <f>'App 4 - Recyclables'!X42+'App 4 - Recyclables'!AD42</f>
        <v>394.32</v>
      </c>
      <c r="AI41" s="127">
        <f>'App 5 - Organics'!V41+'App 5 - Organics'!AD41</f>
        <v>6924.7</v>
      </c>
      <c r="AJ41" s="127">
        <f>'App 5 - Organics'!W41+'App 5 - Organics'!AE41</f>
        <v>2236.2299999999996</v>
      </c>
      <c r="AK41" s="127">
        <f>'App 5 - Organics'!X41+'App 5 - Organics'!AF41</f>
        <v>4688.47</v>
      </c>
      <c r="AL41" s="128">
        <f>'App 6 - Residual Waste'!AC41+'App 6 - Residual Waste'!AI41</f>
        <v>11663.990000000002</v>
      </c>
      <c r="AM41" s="128">
        <f>'App 6 - Residual Waste'!AD41+'App 6 - Residual Waste'!AJ41</f>
        <v>0</v>
      </c>
      <c r="AN41" s="128">
        <f>'App 6 - Residual Waste'!AE41+'App 6 - Residual Waste'!AK41</f>
        <v>11663.990000000002</v>
      </c>
      <c r="AO41" s="121"/>
      <c r="AP41" s="128">
        <f t="shared" si="10"/>
        <v>23365.97</v>
      </c>
      <c r="AQ41" s="128">
        <f t="shared" si="11"/>
        <v>6619.19</v>
      </c>
      <c r="AR41" s="128">
        <f t="shared" si="12"/>
        <v>16746.780000000002</v>
      </c>
      <c r="AS41" s="129">
        <f t="shared" si="13"/>
        <v>0.28328333897544161</v>
      </c>
    </row>
    <row r="42" spans="1:45" ht="15.75" x14ac:dyDescent="0.25">
      <c r="A42" s="8">
        <v>12700</v>
      </c>
      <c r="B42" s="8" t="s">
        <v>101</v>
      </c>
      <c r="C42" s="8" t="s">
        <v>23</v>
      </c>
      <c r="D42" s="29" t="s">
        <v>3</v>
      </c>
      <c r="E42" s="126"/>
      <c r="F42" s="127">
        <f>'App 4 - Recyclables'!V43</f>
        <v>1465.7299999999998</v>
      </c>
      <c r="G42" s="127">
        <f>'App 4 - Recyclables'!W43</f>
        <v>1465.7299999999998</v>
      </c>
      <c r="H42" s="127">
        <f>'App 4 - Recyclables'!X43</f>
        <v>0</v>
      </c>
      <c r="I42" s="127">
        <f>'App 5 - Organics'!V42</f>
        <v>391.44</v>
      </c>
      <c r="J42" s="127">
        <f>'App 5 - Organics'!W42</f>
        <v>391.44</v>
      </c>
      <c r="K42" s="127">
        <f>'App 5 - Organics'!X42</f>
        <v>0</v>
      </c>
      <c r="L42" s="128">
        <f>'App 6 - Residual Waste'!AC42</f>
        <v>2459.31</v>
      </c>
      <c r="M42" s="128">
        <f>'App 6 - Residual Waste'!AD42</f>
        <v>0.31</v>
      </c>
      <c r="N42" s="128">
        <f>'App 6 - Residual Waste'!AE42</f>
        <v>2459</v>
      </c>
      <c r="O42" s="121"/>
      <c r="P42" s="128">
        <f t="shared" si="14"/>
        <v>4316.4799999999996</v>
      </c>
      <c r="Q42" s="128">
        <f t="shared" si="14"/>
        <v>1857.4799999999998</v>
      </c>
      <c r="R42" s="128">
        <f t="shared" si="14"/>
        <v>2459</v>
      </c>
      <c r="S42" s="129">
        <f t="shared" si="1"/>
        <v>0.43032285566016754</v>
      </c>
      <c r="U42" s="130">
        <f>(P42*1000)/'App 1 - Services'!F42/52</f>
        <v>8.4989485788093351</v>
      </c>
      <c r="V42" s="130">
        <f>(P42*1000)/'App 1 - Services'!G42/52</f>
        <v>15.256245316895932</v>
      </c>
      <c r="X42" s="131">
        <f t="shared" si="2"/>
        <v>0.43032285566016754</v>
      </c>
      <c r="Y42" s="132">
        <f t="shared" si="3"/>
        <v>1465.7299999999998</v>
      </c>
      <c r="Z42" s="133">
        <f t="shared" si="4"/>
        <v>0.33956603528801244</v>
      </c>
      <c r="AA42" s="132">
        <f t="shared" si="5"/>
        <v>391.44</v>
      </c>
      <c r="AB42" s="133">
        <f t="shared" si="6"/>
        <v>9.0685002594706812E-2</v>
      </c>
      <c r="AC42" s="132">
        <f t="shared" si="7"/>
        <v>2459.31</v>
      </c>
      <c r="AD42" s="133">
        <f t="shared" si="8"/>
        <v>0.56974896211728077</v>
      </c>
      <c r="AF42" s="127">
        <f>'App 4 - Recyclables'!V43+'App 4 - Recyclables'!AB43</f>
        <v>1465.7299999999998</v>
      </c>
      <c r="AG42" s="127">
        <f>'App 4 - Recyclables'!W43+'App 4 - Recyclables'!AC43</f>
        <v>1465.7299999999998</v>
      </c>
      <c r="AH42" s="127">
        <f>'App 4 - Recyclables'!X43+'App 4 - Recyclables'!AD43</f>
        <v>0</v>
      </c>
      <c r="AI42" s="127">
        <f>'App 5 - Organics'!V42+'App 5 - Organics'!AD42</f>
        <v>391.44</v>
      </c>
      <c r="AJ42" s="127">
        <f>'App 5 - Organics'!W42+'App 5 - Organics'!AE42</f>
        <v>391.44</v>
      </c>
      <c r="AK42" s="127">
        <f>'App 5 - Organics'!X42+'App 5 - Organics'!AF42</f>
        <v>0</v>
      </c>
      <c r="AL42" s="128">
        <f>'App 6 - Residual Waste'!AC42+'App 6 - Residual Waste'!AI42</f>
        <v>2459.31</v>
      </c>
      <c r="AM42" s="128">
        <f>'App 6 - Residual Waste'!AD42+'App 6 - Residual Waste'!AJ42</f>
        <v>0.31</v>
      </c>
      <c r="AN42" s="128">
        <f>'App 6 - Residual Waste'!AE42+'App 6 - Residual Waste'!AK42</f>
        <v>2459</v>
      </c>
      <c r="AO42" s="121"/>
      <c r="AP42" s="128">
        <f t="shared" si="10"/>
        <v>4316.4799999999996</v>
      </c>
      <c r="AQ42" s="128">
        <f t="shared" si="11"/>
        <v>1857.4799999999998</v>
      </c>
      <c r="AR42" s="128">
        <f t="shared" si="12"/>
        <v>2459</v>
      </c>
      <c r="AS42" s="129">
        <f t="shared" si="13"/>
        <v>0.43032285566016754</v>
      </c>
    </row>
    <row r="43" spans="1:45" ht="15.75" x14ac:dyDescent="0.25">
      <c r="A43" s="8">
        <v>12730</v>
      </c>
      <c r="B43" s="8" t="s">
        <v>102</v>
      </c>
      <c r="C43" s="8" t="s">
        <v>66</v>
      </c>
      <c r="D43" s="29" t="s">
        <v>1</v>
      </c>
      <c r="E43" s="126"/>
      <c r="F43" s="127">
        <f>'App 4 - Recyclables'!V44</f>
        <v>1144.21</v>
      </c>
      <c r="G43" s="127">
        <f>'App 4 - Recyclables'!W44</f>
        <v>1130.07</v>
      </c>
      <c r="H43" s="127">
        <f>'App 4 - Recyclables'!X44</f>
        <v>14.14</v>
      </c>
      <c r="I43" s="127">
        <f>'App 5 - Organics'!V43</f>
        <v>774.03</v>
      </c>
      <c r="J43" s="127">
        <f>'App 5 - Organics'!W43</f>
        <v>0</v>
      </c>
      <c r="K43" s="127">
        <f>'App 5 - Organics'!X43</f>
        <v>774.03</v>
      </c>
      <c r="L43" s="128">
        <f>'App 6 - Residual Waste'!AC43</f>
        <v>3795.95</v>
      </c>
      <c r="M43" s="128">
        <f>'App 6 - Residual Waste'!AD43</f>
        <v>0</v>
      </c>
      <c r="N43" s="128">
        <f>'App 6 - Residual Waste'!AE43</f>
        <v>3795.95</v>
      </c>
      <c r="O43" s="121"/>
      <c r="P43" s="128">
        <f t="shared" si="14"/>
        <v>5714.19</v>
      </c>
      <c r="Q43" s="128">
        <f t="shared" si="14"/>
        <v>1130.07</v>
      </c>
      <c r="R43" s="128">
        <f t="shared" si="14"/>
        <v>4584.12</v>
      </c>
      <c r="S43" s="129">
        <f t="shared" si="1"/>
        <v>0.1977655625731731</v>
      </c>
      <c r="U43" s="130">
        <f>(P43*1000)/'App 1 - Services'!F43/52</f>
        <v>13.035381877908568</v>
      </c>
      <c r="V43" s="130">
        <f>(P43*1000)/'App 1 - Services'!G43/52</f>
        <v>21.859611941668838</v>
      </c>
      <c r="X43" s="131">
        <f t="shared" si="2"/>
        <v>0.1977655625731731</v>
      </c>
      <c r="Y43" s="132">
        <f t="shared" si="3"/>
        <v>1144.21</v>
      </c>
      <c r="Z43" s="133">
        <f t="shared" si="4"/>
        <v>0.20024010402174239</v>
      </c>
      <c r="AA43" s="132">
        <f t="shared" si="5"/>
        <v>774.03</v>
      </c>
      <c r="AB43" s="133">
        <f t="shared" si="6"/>
        <v>0.13545751891344179</v>
      </c>
      <c r="AC43" s="132">
        <f t="shared" si="7"/>
        <v>3795.95</v>
      </c>
      <c r="AD43" s="133">
        <f t="shared" si="8"/>
        <v>0.66430237706481587</v>
      </c>
      <c r="AF43" s="127">
        <f>'App 4 - Recyclables'!V44+'App 4 - Recyclables'!AB44</f>
        <v>1144.21</v>
      </c>
      <c r="AG43" s="127">
        <f>'App 4 - Recyclables'!W44+'App 4 - Recyclables'!AC44</f>
        <v>1130.07</v>
      </c>
      <c r="AH43" s="127">
        <f>'App 4 - Recyclables'!X44+'App 4 - Recyclables'!AD44</f>
        <v>14.14</v>
      </c>
      <c r="AI43" s="127">
        <f>'App 5 - Organics'!V43+'App 5 - Organics'!AD43</f>
        <v>789.37</v>
      </c>
      <c r="AJ43" s="127">
        <f>'App 5 - Organics'!W43+'App 5 - Organics'!AE43</f>
        <v>15.34</v>
      </c>
      <c r="AK43" s="127">
        <f>'App 5 - Organics'!X43+'App 5 - Organics'!AF43</f>
        <v>774.03</v>
      </c>
      <c r="AL43" s="128">
        <f>'App 6 - Residual Waste'!AC43+'App 6 - Residual Waste'!AI43</f>
        <v>3830.0099999999998</v>
      </c>
      <c r="AM43" s="128">
        <f>'App 6 - Residual Waste'!AD43+'App 6 - Residual Waste'!AJ43</f>
        <v>0</v>
      </c>
      <c r="AN43" s="128">
        <f>'App 6 - Residual Waste'!AE43+'App 6 - Residual Waste'!AK43</f>
        <v>3830.0099999999998</v>
      </c>
      <c r="AO43" s="121"/>
      <c r="AP43" s="128">
        <f t="shared" si="10"/>
        <v>5763.59</v>
      </c>
      <c r="AQ43" s="128">
        <f t="shared" si="11"/>
        <v>1145.4099999999999</v>
      </c>
      <c r="AR43" s="128">
        <f t="shared" si="12"/>
        <v>4618.1799999999994</v>
      </c>
      <c r="AS43" s="129">
        <f t="shared" si="13"/>
        <v>0.19873204027351005</v>
      </c>
    </row>
    <row r="44" spans="1:45" ht="15.75" x14ac:dyDescent="0.25">
      <c r="A44" s="8">
        <v>12750</v>
      </c>
      <c r="B44" s="8" t="s">
        <v>103</v>
      </c>
      <c r="C44" s="8" t="s">
        <v>67</v>
      </c>
      <c r="D44" s="29" t="s">
        <v>1</v>
      </c>
      <c r="E44" s="126"/>
      <c r="F44" s="127">
        <f>'App 4 - Recyclables'!V45</f>
        <v>8736.8499999999985</v>
      </c>
      <c r="G44" s="127">
        <f>'App 4 - Recyclables'!W45</f>
        <v>8172.2499999999982</v>
      </c>
      <c r="H44" s="127">
        <f>'App 4 - Recyclables'!X45</f>
        <v>564.6</v>
      </c>
      <c r="I44" s="127">
        <f>'App 5 - Organics'!V44</f>
        <v>8137.7699999999995</v>
      </c>
      <c r="J44" s="127">
        <f>'App 5 - Organics'!W44</f>
        <v>8131.53</v>
      </c>
      <c r="K44" s="127">
        <f>'App 5 - Organics'!X44</f>
        <v>6.24</v>
      </c>
      <c r="L44" s="128">
        <f>'App 6 - Residual Waste'!AC44</f>
        <v>14206.169999999998</v>
      </c>
      <c r="M44" s="128">
        <f>'App 6 - Residual Waste'!AD44</f>
        <v>140.54999999999984</v>
      </c>
      <c r="N44" s="128">
        <f>'App 6 - Residual Waste'!AE44</f>
        <v>14065.62</v>
      </c>
      <c r="O44" s="121"/>
      <c r="P44" s="128">
        <f t="shared" si="14"/>
        <v>31080.789999999997</v>
      </c>
      <c r="Q44" s="128">
        <f t="shared" si="14"/>
        <v>16444.329999999998</v>
      </c>
      <c r="R44" s="128">
        <f t="shared" si="14"/>
        <v>14636.460000000001</v>
      </c>
      <c r="S44" s="129">
        <f t="shared" si="1"/>
        <v>0.52908339845930552</v>
      </c>
      <c r="U44" s="130">
        <f>(P44*1000)/'App 1 - Services'!F44/52</f>
        <v>14.609588873680092</v>
      </c>
      <c r="V44" s="130">
        <f>(P44*1000)/'App 1 - Services'!G44/52</f>
        <v>23.777996578748457</v>
      </c>
      <c r="X44" s="131">
        <f t="shared" si="2"/>
        <v>0.52908339845930552</v>
      </c>
      <c r="Y44" s="132">
        <f t="shared" si="3"/>
        <v>8736.8499999999985</v>
      </c>
      <c r="Z44" s="133">
        <f t="shared" si="4"/>
        <v>0.28110128474855367</v>
      </c>
      <c r="AA44" s="132">
        <f t="shared" si="5"/>
        <v>8137.7699999999995</v>
      </c>
      <c r="AB44" s="133">
        <f t="shared" si="6"/>
        <v>0.26182635640857266</v>
      </c>
      <c r="AC44" s="132">
        <f t="shared" si="7"/>
        <v>14206.169999999998</v>
      </c>
      <c r="AD44" s="133">
        <f t="shared" si="8"/>
        <v>0.45707235884287367</v>
      </c>
      <c r="AF44" s="127">
        <f>'App 4 - Recyclables'!V45+'App 4 - Recyclables'!AB45</f>
        <v>8739.3299999999981</v>
      </c>
      <c r="AG44" s="127">
        <f>'App 4 - Recyclables'!W45+'App 4 - Recyclables'!AC45</f>
        <v>8174.7299999999977</v>
      </c>
      <c r="AH44" s="127">
        <f>'App 4 - Recyclables'!X45+'App 4 - Recyclables'!AD45</f>
        <v>564.6</v>
      </c>
      <c r="AI44" s="127">
        <f>'App 5 - Organics'!V44+'App 5 - Organics'!AD44</f>
        <v>8482.3799999999992</v>
      </c>
      <c r="AJ44" s="127">
        <f>'App 5 - Organics'!W44+'App 5 - Organics'!AE44</f>
        <v>8476.14</v>
      </c>
      <c r="AK44" s="127">
        <f>'App 5 - Organics'!X44+'App 5 - Organics'!AF44</f>
        <v>6.24</v>
      </c>
      <c r="AL44" s="128">
        <f>'App 6 - Residual Waste'!AC44+'App 6 - Residual Waste'!AI44</f>
        <v>15716.859999999999</v>
      </c>
      <c r="AM44" s="128">
        <f>'App 6 - Residual Waste'!AD44+'App 6 - Residual Waste'!AJ44</f>
        <v>140.54999999999984</v>
      </c>
      <c r="AN44" s="128">
        <f>'App 6 - Residual Waste'!AE44+'App 6 - Residual Waste'!AK44</f>
        <v>15576.310000000001</v>
      </c>
      <c r="AO44" s="121"/>
      <c r="AP44" s="128">
        <f t="shared" si="10"/>
        <v>32938.57</v>
      </c>
      <c r="AQ44" s="128">
        <f t="shared" si="11"/>
        <v>16791.419999999995</v>
      </c>
      <c r="AR44" s="128">
        <f t="shared" si="12"/>
        <v>16147.150000000001</v>
      </c>
      <c r="AS44" s="129">
        <f t="shared" si="13"/>
        <v>0.5097798720466612</v>
      </c>
    </row>
    <row r="45" spans="1:45" ht="15.75" x14ac:dyDescent="0.25">
      <c r="A45" s="8">
        <v>12850</v>
      </c>
      <c r="B45" s="8" t="s">
        <v>104</v>
      </c>
      <c r="C45" s="8" t="s">
        <v>18</v>
      </c>
      <c r="D45" s="29" t="s">
        <v>2</v>
      </c>
      <c r="E45" s="126"/>
      <c r="F45" s="127">
        <f>'App 4 - Recyclables'!V46</f>
        <v>13167.45</v>
      </c>
      <c r="G45" s="127">
        <f>'App 4 - Recyclables'!W46</f>
        <v>13167.45</v>
      </c>
      <c r="H45" s="127">
        <f>'App 4 - Recyclables'!X46</f>
        <v>0</v>
      </c>
      <c r="I45" s="127">
        <f>'App 5 - Organics'!V45</f>
        <v>1105.32</v>
      </c>
      <c r="J45" s="127">
        <f>'App 5 - Organics'!W45</f>
        <v>1105.32</v>
      </c>
      <c r="K45" s="127">
        <f>'App 5 - Organics'!X45</f>
        <v>0</v>
      </c>
      <c r="L45" s="128">
        <f>'App 6 - Residual Waste'!AC45</f>
        <v>74554.900000000009</v>
      </c>
      <c r="M45" s="128">
        <f>'App 6 - Residual Waste'!AD45</f>
        <v>0</v>
      </c>
      <c r="N45" s="128">
        <f>'App 6 - Residual Waste'!AE45</f>
        <v>74554.900000000009</v>
      </c>
      <c r="O45" s="121"/>
      <c r="P45" s="128">
        <f t="shared" si="14"/>
        <v>88827.670000000013</v>
      </c>
      <c r="Q45" s="128">
        <f t="shared" si="14"/>
        <v>14272.77</v>
      </c>
      <c r="R45" s="128">
        <f t="shared" si="14"/>
        <v>74554.900000000009</v>
      </c>
      <c r="S45" s="129">
        <f t="shared" si="1"/>
        <v>0.1606793243591777</v>
      </c>
      <c r="U45" s="130">
        <f>(P45*1000)/'App 1 - Services'!F45/52</f>
        <v>8.1444080016254414</v>
      </c>
      <c r="V45" s="130">
        <f>(P45*1000)/'App 1 - Services'!G45/52</f>
        <v>24.904861103322983</v>
      </c>
      <c r="X45" s="131">
        <f t="shared" si="2"/>
        <v>0.1606793243591777</v>
      </c>
      <c r="Y45" s="132">
        <f t="shared" si="3"/>
        <v>13167.45</v>
      </c>
      <c r="Z45" s="133">
        <f t="shared" si="4"/>
        <v>0.14823590442032306</v>
      </c>
      <c r="AA45" s="132">
        <f t="shared" si="5"/>
        <v>1105.32</v>
      </c>
      <c r="AB45" s="133">
        <f t="shared" si="6"/>
        <v>1.2443419938854635E-2</v>
      </c>
      <c r="AC45" s="132">
        <f t="shared" si="7"/>
        <v>74554.900000000009</v>
      </c>
      <c r="AD45" s="133">
        <f t="shared" si="8"/>
        <v>0.83932067564082224</v>
      </c>
      <c r="AF45" s="127">
        <f>'App 4 - Recyclables'!V46+'App 4 - Recyclables'!AB46</f>
        <v>13167.45</v>
      </c>
      <c r="AG45" s="127">
        <f>'App 4 - Recyclables'!W46+'App 4 - Recyclables'!AC46</f>
        <v>13167.45</v>
      </c>
      <c r="AH45" s="127">
        <f>'App 4 - Recyclables'!X46+'App 4 - Recyclables'!AD46</f>
        <v>0</v>
      </c>
      <c r="AI45" s="127">
        <f>'App 5 - Organics'!V45+'App 5 - Organics'!AD45</f>
        <v>1105.32</v>
      </c>
      <c r="AJ45" s="127">
        <f>'App 5 - Organics'!W45+'App 5 - Organics'!AE45</f>
        <v>1105.32</v>
      </c>
      <c r="AK45" s="127">
        <f>'App 5 - Organics'!X45+'App 5 - Organics'!AF45</f>
        <v>0</v>
      </c>
      <c r="AL45" s="128">
        <f>'App 6 - Residual Waste'!AC45+'App 6 - Residual Waste'!AI45</f>
        <v>75242.220000000016</v>
      </c>
      <c r="AM45" s="128">
        <f>'App 6 - Residual Waste'!AD45+'App 6 - Residual Waste'!AJ45</f>
        <v>0</v>
      </c>
      <c r="AN45" s="128">
        <f>'App 6 - Residual Waste'!AE45+'App 6 - Residual Waste'!AK45</f>
        <v>75242.220000000016</v>
      </c>
      <c r="AO45" s="121"/>
      <c r="AP45" s="128">
        <f t="shared" si="10"/>
        <v>89514.99000000002</v>
      </c>
      <c r="AQ45" s="128">
        <f t="shared" si="11"/>
        <v>14272.77</v>
      </c>
      <c r="AR45" s="128">
        <f t="shared" si="12"/>
        <v>75242.220000000016</v>
      </c>
      <c r="AS45" s="129">
        <f t="shared" si="13"/>
        <v>0.15944558559409991</v>
      </c>
    </row>
    <row r="46" spans="1:45" ht="15.75" x14ac:dyDescent="0.25">
      <c r="A46" s="8">
        <v>12870</v>
      </c>
      <c r="B46" s="8" t="s">
        <v>105</v>
      </c>
      <c r="C46" s="8" t="s">
        <v>66</v>
      </c>
      <c r="D46" s="29" t="s">
        <v>1</v>
      </c>
      <c r="E46" s="126"/>
      <c r="F46" s="127">
        <f>'App 4 - Recyclables'!V47</f>
        <v>2295.1799999999998</v>
      </c>
      <c r="G46" s="127">
        <f>'App 4 - Recyclables'!W47</f>
        <v>2295.1799999999998</v>
      </c>
      <c r="H46" s="127">
        <f>'App 4 - Recyclables'!X47</f>
        <v>0</v>
      </c>
      <c r="I46" s="127">
        <f>'App 5 - Organics'!V46</f>
        <v>3414</v>
      </c>
      <c r="J46" s="127">
        <f>'App 5 - Organics'!W46</f>
        <v>3414</v>
      </c>
      <c r="K46" s="127">
        <f>'App 5 - Organics'!X46</f>
        <v>0</v>
      </c>
      <c r="L46" s="128">
        <f>'App 6 - Residual Waste'!AC46</f>
        <v>1917</v>
      </c>
      <c r="M46" s="128">
        <f>'App 6 - Residual Waste'!AD46</f>
        <v>0</v>
      </c>
      <c r="N46" s="128">
        <f>'App 6 - Residual Waste'!AE46</f>
        <v>1917</v>
      </c>
      <c r="O46" s="121"/>
      <c r="P46" s="128">
        <f t="shared" si="14"/>
        <v>7626.18</v>
      </c>
      <c r="Q46" s="128">
        <f t="shared" si="14"/>
        <v>5709.18</v>
      </c>
      <c r="R46" s="128">
        <f t="shared" si="14"/>
        <v>1917</v>
      </c>
      <c r="S46" s="129">
        <f t="shared" si="1"/>
        <v>0.7486290646168855</v>
      </c>
      <c r="U46" s="130">
        <f>(P46*1000)/'App 1 - Services'!F46/52</f>
        <v>11.334516399436408</v>
      </c>
      <c r="V46" s="130">
        <f>(P46*1000)/'App 1 - Services'!G46/52</f>
        <v>14.807886479433328</v>
      </c>
      <c r="X46" s="131">
        <f t="shared" si="2"/>
        <v>0.7486290646168855</v>
      </c>
      <c r="Y46" s="132">
        <f t="shared" si="3"/>
        <v>2295.1799999999998</v>
      </c>
      <c r="Z46" s="133">
        <f t="shared" si="4"/>
        <v>0.30096063822254387</v>
      </c>
      <c r="AA46" s="132">
        <f t="shared" si="5"/>
        <v>3414</v>
      </c>
      <c r="AB46" s="133">
        <f t="shared" si="6"/>
        <v>0.44766842639434157</v>
      </c>
      <c r="AC46" s="132">
        <f t="shared" si="7"/>
        <v>1917</v>
      </c>
      <c r="AD46" s="133">
        <f t="shared" si="8"/>
        <v>0.25137093538311445</v>
      </c>
      <c r="AF46" s="127">
        <f>'App 4 - Recyclables'!V47+'App 4 - Recyclables'!AB47</f>
        <v>2295.1799999999998</v>
      </c>
      <c r="AG46" s="127">
        <f>'App 4 - Recyclables'!W47+'App 4 - Recyclables'!AC47</f>
        <v>2295.1799999999998</v>
      </c>
      <c r="AH46" s="127">
        <f>'App 4 - Recyclables'!X47+'App 4 - Recyclables'!AD47</f>
        <v>0</v>
      </c>
      <c r="AI46" s="127">
        <f>'App 5 - Organics'!V46+'App 5 - Organics'!AD46</f>
        <v>3414</v>
      </c>
      <c r="AJ46" s="127">
        <f>'App 5 - Organics'!W46+'App 5 - Organics'!AE46</f>
        <v>3414</v>
      </c>
      <c r="AK46" s="127">
        <f>'App 5 - Organics'!X46+'App 5 - Organics'!AF46</f>
        <v>0</v>
      </c>
      <c r="AL46" s="128">
        <f>'App 6 - Residual Waste'!AC46+'App 6 - Residual Waste'!AI46</f>
        <v>1917</v>
      </c>
      <c r="AM46" s="128">
        <f>'App 6 - Residual Waste'!AD46+'App 6 - Residual Waste'!AJ46</f>
        <v>0</v>
      </c>
      <c r="AN46" s="128">
        <f>'App 6 - Residual Waste'!AE46+'App 6 - Residual Waste'!AK46</f>
        <v>1917</v>
      </c>
      <c r="AO46" s="121"/>
      <c r="AP46" s="128">
        <f t="shared" si="10"/>
        <v>7626.18</v>
      </c>
      <c r="AQ46" s="128">
        <f t="shared" si="11"/>
        <v>5709.18</v>
      </c>
      <c r="AR46" s="128">
        <f t="shared" si="12"/>
        <v>1917</v>
      </c>
      <c r="AS46" s="129">
        <f t="shared" si="13"/>
        <v>0.7486290646168855</v>
      </c>
    </row>
    <row r="47" spans="1:45" ht="15.75" x14ac:dyDescent="0.25">
      <c r="A47" s="8">
        <v>12900</v>
      </c>
      <c r="B47" s="8" t="s">
        <v>106</v>
      </c>
      <c r="C47" s="8" t="s">
        <v>38</v>
      </c>
      <c r="D47" s="29" t="s">
        <v>1</v>
      </c>
      <c r="E47" s="126"/>
      <c r="F47" s="127">
        <f>'App 4 - Recyclables'!V48</f>
        <v>1234.32</v>
      </c>
      <c r="G47" s="127">
        <f>'App 4 - Recyclables'!W48</f>
        <v>1226.5899999999999</v>
      </c>
      <c r="H47" s="127">
        <f>'App 4 - Recyclables'!X48</f>
        <v>7.73</v>
      </c>
      <c r="I47" s="127">
        <f>'App 5 - Organics'!V47</f>
        <v>2665</v>
      </c>
      <c r="J47" s="127">
        <f>'App 5 - Organics'!W47</f>
        <v>2365</v>
      </c>
      <c r="K47" s="127">
        <f>'App 5 - Organics'!X47</f>
        <v>300</v>
      </c>
      <c r="L47" s="128">
        <f>'App 6 - Residual Waste'!AC47</f>
        <v>10026</v>
      </c>
      <c r="M47" s="128">
        <f>'App 6 - Residual Waste'!AD47</f>
        <v>0</v>
      </c>
      <c r="N47" s="128">
        <f>'App 6 - Residual Waste'!AE47</f>
        <v>10026</v>
      </c>
      <c r="O47" s="121"/>
      <c r="P47" s="128">
        <f t="shared" si="14"/>
        <v>13925.32</v>
      </c>
      <c r="Q47" s="128">
        <f t="shared" si="14"/>
        <v>3591.59</v>
      </c>
      <c r="R47" s="128">
        <f t="shared" si="14"/>
        <v>10333.73</v>
      </c>
      <c r="S47" s="129">
        <f t="shared" si="1"/>
        <v>0.25791795089807634</v>
      </c>
      <c r="U47" s="130">
        <f>(P47*1000)/'App 1 - Services'!F47/52</f>
        <v>28.795119933829611</v>
      </c>
      <c r="V47" s="130">
        <f>(P47*1000)/'App 1 - Services'!G47/52</f>
        <v>61.154285312768984</v>
      </c>
      <c r="X47" s="131">
        <f t="shared" si="2"/>
        <v>0.25791795089807634</v>
      </c>
      <c r="Y47" s="132">
        <f t="shared" si="3"/>
        <v>1234.32</v>
      </c>
      <c r="Z47" s="133">
        <f t="shared" si="4"/>
        <v>8.8638537570411305E-2</v>
      </c>
      <c r="AA47" s="132">
        <f t="shared" si="5"/>
        <v>2665</v>
      </c>
      <c r="AB47" s="133">
        <f t="shared" si="6"/>
        <v>0.1913780078303407</v>
      </c>
      <c r="AC47" s="132">
        <f t="shared" si="7"/>
        <v>10026</v>
      </c>
      <c r="AD47" s="133">
        <f t="shared" si="8"/>
        <v>0.71998345459924795</v>
      </c>
      <c r="AF47" s="127">
        <f>'App 4 - Recyclables'!V48+'App 4 - Recyclables'!AB48</f>
        <v>1234.32</v>
      </c>
      <c r="AG47" s="127">
        <f>'App 4 - Recyclables'!W48+'App 4 - Recyclables'!AC48</f>
        <v>1226.5899999999999</v>
      </c>
      <c r="AH47" s="127">
        <f>'App 4 - Recyclables'!X48+'App 4 - Recyclables'!AD48</f>
        <v>7.73</v>
      </c>
      <c r="AI47" s="127">
        <f>'App 5 - Organics'!V47+'App 5 - Organics'!AD47</f>
        <v>2665</v>
      </c>
      <c r="AJ47" s="127">
        <f>'App 5 - Organics'!W47+'App 5 - Organics'!AE47</f>
        <v>2365</v>
      </c>
      <c r="AK47" s="127">
        <f>'App 5 - Organics'!X47+'App 5 - Organics'!AF47</f>
        <v>300</v>
      </c>
      <c r="AL47" s="128">
        <f>'App 6 - Residual Waste'!AC47+'App 6 - Residual Waste'!AI47</f>
        <v>10026</v>
      </c>
      <c r="AM47" s="128">
        <f>'App 6 - Residual Waste'!AD47+'App 6 - Residual Waste'!AJ47</f>
        <v>0</v>
      </c>
      <c r="AN47" s="128">
        <f>'App 6 - Residual Waste'!AE47+'App 6 - Residual Waste'!AK47</f>
        <v>10026</v>
      </c>
      <c r="AO47" s="121"/>
      <c r="AP47" s="128">
        <f t="shared" si="10"/>
        <v>13925.32</v>
      </c>
      <c r="AQ47" s="128">
        <f t="shared" si="11"/>
        <v>3591.59</v>
      </c>
      <c r="AR47" s="128">
        <f t="shared" si="12"/>
        <v>10333.73</v>
      </c>
      <c r="AS47" s="129">
        <f t="shared" si="13"/>
        <v>0.25791795089807634</v>
      </c>
    </row>
    <row r="48" spans="1:45" ht="15.75" x14ac:dyDescent="0.25">
      <c r="A48" s="8">
        <v>12930</v>
      </c>
      <c r="B48" s="8" t="s">
        <v>48</v>
      </c>
      <c r="C48" s="8" t="s">
        <v>17</v>
      </c>
      <c r="D48" s="29" t="s">
        <v>2</v>
      </c>
      <c r="E48" s="126"/>
      <c r="F48" s="127">
        <f>'App 4 - Recyclables'!V49</f>
        <v>10826.25</v>
      </c>
      <c r="G48" s="127">
        <f>'App 4 - Recyclables'!W49</f>
        <v>10761.25</v>
      </c>
      <c r="H48" s="127">
        <f>'App 4 - Recyclables'!X49</f>
        <v>65</v>
      </c>
      <c r="I48" s="127">
        <f>'App 5 - Organics'!V48</f>
        <v>12575</v>
      </c>
      <c r="J48" s="127">
        <f>'App 5 - Organics'!W48</f>
        <v>12575</v>
      </c>
      <c r="K48" s="127">
        <f>'App 5 - Organics'!X48</f>
        <v>0</v>
      </c>
      <c r="L48" s="128">
        <f>'App 6 - Residual Waste'!AC48</f>
        <v>36124</v>
      </c>
      <c r="M48" s="128">
        <f>'App 6 - Residual Waste'!AD48</f>
        <v>10985</v>
      </c>
      <c r="N48" s="128">
        <f>'App 6 - Residual Waste'!AE48</f>
        <v>25139</v>
      </c>
      <c r="O48" s="121"/>
      <c r="P48" s="128">
        <f t="shared" si="14"/>
        <v>59525.25</v>
      </c>
      <c r="Q48" s="128">
        <f t="shared" si="14"/>
        <v>34321.25</v>
      </c>
      <c r="R48" s="128">
        <f t="shared" si="14"/>
        <v>25204</v>
      </c>
      <c r="S48" s="129">
        <f t="shared" si="1"/>
        <v>0.57658304669027005</v>
      </c>
      <c r="U48" s="130">
        <f>(P48*1000)/'App 1 - Services'!F48/52</f>
        <v>7.2427023312338816</v>
      </c>
      <c r="V48" s="130">
        <f>(P48*1000)/'App 1 - Services'!G48/52</f>
        <v>18.953512586162098</v>
      </c>
      <c r="X48" s="131">
        <f t="shared" si="2"/>
        <v>0.57658304669027005</v>
      </c>
      <c r="Y48" s="132">
        <f t="shared" si="3"/>
        <v>10826.25</v>
      </c>
      <c r="Z48" s="133">
        <f t="shared" si="4"/>
        <v>0.18187659858631422</v>
      </c>
      <c r="AA48" s="132">
        <f t="shared" si="5"/>
        <v>12575</v>
      </c>
      <c r="AB48" s="133">
        <f t="shared" si="6"/>
        <v>0.21125488763171932</v>
      </c>
      <c r="AC48" s="132">
        <f t="shared" si="7"/>
        <v>36124</v>
      </c>
      <c r="AD48" s="133">
        <f t="shared" si="8"/>
        <v>0.60686851378196649</v>
      </c>
      <c r="AF48" s="127">
        <f>'App 4 - Recyclables'!V49+'App 4 - Recyclables'!AB49</f>
        <v>10826.25</v>
      </c>
      <c r="AG48" s="127">
        <f>'App 4 - Recyclables'!W49+'App 4 - Recyclables'!AC49</f>
        <v>10761.25</v>
      </c>
      <c r="AH48" s="127">
        <f>'App 4 - Recyclables'!X49+'App 4 - Recyclables'!AD49</f>
        <v>65</v>
      </c>
      <c r="AI48" s="127">
        <f>'App 5 - Organics'!V48+'App 5 - Organics'!AD48</f>
        <v>12575</v>
      </c>
      <c r="AJ48" s="127">
        <f>'App 5 - Organics'!W48+'App 5 - Organics'!AE48</f>
        <v>12575</v>
      </c>
      <c r="AK48" s="127">
        <f>'App 5 - Organics'!X48+'App 5 - Organics'!AF48</f>
        <v>0</v>
      </c>
      <c r="AL48" s="128">
        <f>'App 6 - Residual Waste'!AC48+'App 6 - Residual Waste'!AI48</f>
        <v>36124</v>
      </c>
      <c r="AM48" s="128">
        <f>'App 6 - Residual Waste'!AD48+'App 6 - Residual Waste'!AJ48</f>
        <v>10985</v>
      </c>
      <c r="AN48" s="128">
        <f>'App 6 - Residual Waste'!AE48+'App 6 - Residual Waste'!AK48</f>
        <v>25139</v>
      </c>
      <c r="AO48" s="121"/>
      <c r="AP48" s="128">
        <f t="shared" si="10"/>
        <v>59525.25</v>
      </c>
      <c r="AQ48" s="128">
        <f t="shared" si="11"/>
        <v>34321.25</v>
      </c>
      <c r="AR48" s="128">
        <f t="shared" si="12"/>
        <v>25204</v>
      </c>
      <c r="AS48" s="129">
        <f t="shared" si="13"/>
        <v>0.57658304669027005</v>
      </c>
    </row>
    <row r="49" spans="1:45" ht="15.75" x14ac:dyDescent="0.25">
      <c r="A49" s="8">
        <v>12950</v>
      </c>
      <c r="B49" s="8" t="s">
        <v>107</v>
      </c>
      <c r="C49" s="8" t="s">
        <v>38</v>
      </c>
      <c r="D49" s="29" t="s">
        <v>1</v>
      </c>
      <c r="E49" s="126"/>
      <c r="F49" s="127">
        <f>'App 4 - Recyclables'!V50</f>
        <v>230.75</v>
      </c>
      <c r="G49" s="127">
        <f>'App 4 - Recyclables'!W50</f>
        <v>229.95</v>
      </c>
      <c r="H49" s="127">
        <f>'App 4 - Recyclables'!X50</f>
        <v>0.8</v>
      </c>
      <c r="I49" s="127">
        <f>'App 5 - Organics'!V49</f>
        <v>24</v>
      </c>
      <c r="J49" s="127">
        <f>'App 5 - Organics'!W49</f>
        <v>24</v>
      </c>
      <c r="K49" s="127">
        <f>'App 5 - Organics'!X49</f>
        <v>0</v>
      </c>
      <c r="L49" s="128">
        <f>'App 6 - Residual Waste'!AC49</f>
        <v>1108.9000000000001</v>
      </c>
      <c r="M49" s="128">
        <f>'App 6 - Residual Waste'!AD49</f>
        <v>0</v>
      </c>
      <c r="N49" s="128">
        <f>'App 6 - Residual Waste'!AE49</f>
        <v>1108.9000000000001</v>
      </c>
      <c r="O49" s="121"/>
      <c r="P49" s="128">
        <f t="shared" si="14"/>
        <v>1363.65</v>
      </c>
      <c r="Q49" s="128">
        <f t="shared" si="14"/>
        <v>253.95</v>
      </c>
      <c r="R49" s="128">
        <f t="shared" si="14"/>
        <v>1109.7</v>
      </c>
      <c r="S49" s="129">
        <f t="shared" si="1"/>
        <v>0.18622813771862279</v>
      </c>
      <c r="U49" s="130">
        <f>(P49*1000)/'App 1 - Services'!F49/52</f>
        <v>6.0858757163004089</v>
      </c>
      <c r="V49" s="130">
        <f>(P49*1000)/'App 1 - Services'!G49/52</f>
        <v>10.195971408063166</v>
      </c>
      <c r="X49" s="131">
        <f t="shared" si="2"/>
        <v>0.18622813771862279</v>
      </c>
      <c r="Y49" s="132">
        <f t="shared" si="3"/>
        <v>230.75</v>
      </c>
      <c r="Z49" s="133">
        <f t="shared" si="4"/>
        <v>0.1692149745169215</v>
      </c>
      <c r="AA49" s="132">
        <f t="shared" si="5"/>
        <v>24</v>
      </c>
      <c r="AB49" s="133">
        <f t="shared" si="6"/>
        <v>1.7599824001759981E-2</v>
      </c>
      <c r="AC49" s="132">
        <f t="shared" si="7"/>
        <v>1108.9000000000001</v>
      </c>
      <c r="AD49" s="133">
        <f t="shared" si="8"/>
        <v>0.81318520148131856</v>
      </c>
      <c r="AF49" s="127">
        <f>'App 4 - Recyclables'!V50+'App 4 - Recyclables'!AB50</f>
        <v>230.75</v>
      </c>
      <c r="AG49" s="127">
        <f>'App 4 - Recyclables'!W50+'App 4 - Recyclables'!AC50</f>
        <v>229.95</v>
      </c>
      <c r="AH49" s="127">
        <f>'App 4 - Recyclables'!X50+'App 4 - Recyclables'!AD50</f>
        <v>0.8</v>
      </c>
      <c r="AI49" s="127">
        <f>'App 5 - Organics'!V49+'App 5 - Organics'!AD49</f>
        <v>24</v>
      </c>
      <c r="AJ49" s="127">
        <f>'App 5 - Organics'!W49+'App 5 - Organics'!AE49</f>
        <v>24</v>
      </c>
      <c r="AK49" s="127">
        <f>'App 5 - Organics'!X49+'App 5 - Organics'!AF49</f>
        <v>0</v>
      </c>
      <c r="AL49" s="128">
        <f>'App 6 - Residual Waste'!AC49+'App 6 - Residual Waste'!AI49</f>
        <v>1108.9000000000001</v>
      </c>
      <c r="AM49" s="128">
        <f>'App 6 - Residual Waste'!AD49+'App 6 - Residual Waste'!AJ49</f>
        <v>0</v>
      </c>
      <c r="AN49" s="128">
        <f>'App 6 - Residual Waste'!AE49+'App 6 - Residual Waste'!AK49</f>
        <v>1108.9000000000001</v>
      </c>
      <c r="AO49" s="121"/>
      <c r="AP49" s="128">
        <f t="shared" si="10"/>
        <v>1363.65</v>
      </c>
      <c r="AQ49" s="128">
        <f t="shared" si="11"/>
        <v>253.95</v>
      </c>
      <c r="AR49" s="128">
        <f t="shared" si="12"/>
        <v>1109.7</v>
      </c>
      <c r="AS49" s="129">
        <f t="shared" si="13"/>
        <v>0.18622813771862279</v>
      </c>
    </row>
    <row r="50" spans="1:45" ht="15.75" x14ac:dyDescent="0.25">
      <c r="A50" s="8">
        <v>13010</v>
      </c>
      <c r="B50" s="8" t="s">
        <v>108</v>
      </c>
      <c r="C50" s="8" t="s">
        <v>16</v>
      </c>
      <c r="D50" s="29" t="s">
        <v>1</v>
      </c>
      <c r="E50" s="126"/>
      <c r="F50" s="127">
        <f>'App 4 - Recyclables'!V51</f>
        <v>2325.6800000000003</v>
      </c>
      <c r="G50" s="127">
        <f>'App 4 - Recyclables'!W51</f>
        <v>2316.38</v>
      </c>
      <c r="H50" s="127">
        <f>'App 4 - Recyclables'!X51</f>
        <v>9.3000000000000007</v>
      </c>
      <c r="I50" s="127">
        <f>'App 5 - Organics'!V50</f>
        <v>1207.3800000000001</v>
      </c>
      <c r="J50" s="127">
        <f>'App 5 - Organics'!W50</f>
        <v>1207.3800000000001</v>
      </c>
      <c r="K50" s="127">
        <f>'App 5 - Organics'!X50</f>
        <v>0</v>
      </c>
      <c r="L50" s="128">
        <f>'App 6 - Residual Waste'!AC50</f>
        <v>4113.7700000000004</v>
      </c>
      <c r="M50" s="128">
        <f>'App 6 - Residual Waste'!AD50</f>
        <v>1190.72</v>
      </c>
      <c r="N50" s="128">
        <f>'App 6 - Residual Waste'!AE50</f>
        <v>2923.05</v>
      </c>
      <c r="O50" s="121"/>
      <c r="P50" s="128">
        <f t="shared" si="14"/>
        <v>7646.8300000000008</v>
      </c>
      <c r="Q50" s="128">
        <f t="shared" si="14"/>
        <v>4714.4800000000005</v>
      </c>
      <c r="R50" s="128">
        <f t="shared" si="14"/>
        <v>2932.3500000000004</v>
      </c>
      <c r="S50" s="129">
        <f t="shared" si="1"/>
        <v>0.61652737147288483</v>
      </c>
      <c r="U50" s="130">
        <f>(P50*1000)/'App 1 - Services'!F50/52</f>
        <v>16.359375133710437</v>
      </c>
      <c r="V50" s="130">
        <f>(P50*1000)/'App 1 - Services'!G50/52</f>
        <v>27.277763508982211</v>
      </c>
      <c r="X50" s="131">
        <f t="shared" si="2"/>
        <v>0.61652737147288483</v>
      </c>
      <c r="Y50" s="132">
        <f t="shared" si="3"/>
        <v>2325.6800000000003</v>
      </c>
      <c r="Z50" s="133">
        <f t="shared" si="4"/>
        <v>0.30413648531482979</v>
      </c>
      <c r="AA50" s="132">
        <f t="shared" si="5"/>
        <v>1207.3800000000001</v>
      </c>
      <c r="AB50" s="133">
        <f t="shared" si="6"/>
        <v>0.15789287848690242</v>
      </c>
      <c r="AC50" s="132">
        <f t="shared" si="7"/>
        <v>4113.7700000000004</v>
      </c>
      <c r="AD50" s="133">
        <f t="shared" si="8"/>
        <v>0.53797063619826779</v>
      </c>
      <c r="AF50" s="127">
        <f>'App 4 - Recyclables'!V51+'App 4 - Recyclables'!AB51</f>
        <v>2325.6800000000003</v>
      </c>
      <c r="AG50" s="127">
        <f>'App 4 - Recyclables'!W51+'App 4 - Recyclables'!AC51</f>
        <v>2316.38</v>
      </c>
      <c r="AH50" s="127">
        <f>'App 4 - Recyclables'!X51+'App 4 - Recyclables'!AD51</f>
        <v>9.3000000000000007</v>
      </c>
      <c r="AI50" s="127">
        <f>'App 5 - Organics'!V50+'App 5 - Organics'!AD50</f>
        <v>1207.3800000000001</v>
      </c>
      <c r="AJ50" s="127">
        <f>'App 5 - Organics'!W50+'App 5 - Organics'!AE50</f>
        <v>1207.3800000000001</v>
      </c>
      <c r="AK50" s="127">
        <f>'App 5 - Organics'!X50+'App 5 - Organics'!AF50</f>
        <v>0</v>
      </c>
      <c r="AL50" s="128">
        <f>'App 6 - Residual Waste'!AC50+'App 6 - Residual Waste'!AI50</f>
        <v>4113.7700000000004</v>
      </c>
      <c r="AM50" s="128">
        <f>'App 6 - Residual Waste'!AD50+'App 6 - Residual Waste'!AJ50</f>
        <v>1190.72</v>
      </c>
      <c r="AN50" s="128">
        <f>'App 6 - Residual Waste'!AE50+'App 6 - Residual Waste'!AK50</f>
        <v>2923.05</v>
      </c>
      <c r="AO50" s="121"/>
      <c r="AP50" s="128">
        <f t="shared" si="10"/>
        <v>7646.8300000000008</v>
      </c>
      <c r="AQ50" s="128">
        <f t="shared" si="11"/>
        <v>4714.4800000000005</v>
      </c>
      <c r="AR50" s="128">
        <f t="shared" si="12"/>
        <v>2932.3500000000004</v>
      </c>
      <c r="AS50" s="129">
        <f t="shared" si="13"/>
        <v>0.61652737147288483</v>
      </c>
    </row>
    <row r="51" spans="1:45" ht="15.75" x14ac:dyDescent="0.25">
      <c r="A51" s="8">
        <v>13310</v>
      </c>
      <c r="B51" s="8" t="s">
        <v>109</v>
      </c>
      <c r="C51" s="8" t="s">
        <v>67</v>
      </c>
      <c r="D51" s="29" t="s">
        <v>1</v>
      </c>
      <c r="E51" s="126"/>
      <c r="F51" s="127">
        <f>'App 4 - Recyclables'!V52</f>
        <v>3309.9100000000003</v>
      </c>
      <c r="G51" s="127">
        <f>'App 4 - Recyclables'!W52</f>
        <v>3230.9100000000003</v>
      </c>
      <c r="H51" s="127">
        <f>'App 4 - Recyclables'!X52</f>
        <v>79</v>
      </c>
      <c r="I51" s="127">
        <f>'App 5 - Organics'!V51</f>
        <v>4269.3</v>
      </c>
      <c r="J51" s="127">
        <f>'App 5 - Organics'!W51</f>
        <v>4210.3600000000006</v>
      </c>
      <c r="K51" s="127">
        <f>'App 5 - Organics'!X51</f>
        <v>58.94</v>
      </c>
      <c r="L51" s="128">
        <f>'App 6 - Residual Waste'!AC51</f>
        <v>15883.15</v>
      </c>
      <c r="M51" s="128">
        <f>'App 6 - Residual Waste'!AD51</f>
        <v>2408</v>
      </c>
      <c r="N51" s="128">
        <f>'App 6 - Residual Waste'!AE51</f>
        <v>13475.15</v>
      </c>
      <c r="O51" s="121"/>
      <c r="P51" s="128">
        <f t="shared" si="14"/>
        <v>23462.36</v>
      </c>
      <c r="Q51" s="128">
        <f t="shared" si="14"/>
        <v>9849.27</v>
      </c>
      <c r="R51" s="128">
        <f t="shared" si="14"/>
        <v>13613.09</v>
      </c>
      <c r="S51" s="129">
        <f t="shared" si="1"/>
        <v>0.41979025127906999</v>
      </c>
      <c r="U51" s="130">
        <f>(P51*1000)/'App 1 - Services'!F51/52</f>
        <v>13.793923288573241</v>
      </c>
      <c r="V51" s="130">
        <f>(P51*1000)/'App 1 - Services'!G51/52</f>
        <v>25.459836969260284</v>
      </c>
      <c r="X51" s="131">
        <f t="shared" si="2"/>
        <v>0.41979025127906999</v>
      </c>
      <c r="Y51" s="132">
        <f t="shared" si="3"/>
        <v>3309.9100000000003</v>
      </c>
      <c r="Z51" s="133">
        <f t="shared" si="4"/>
        <v>0.14107319127317117</v>
      </c>
      <c r="AA51" s="132">
        <f t="shared" si="5"/>
        <v>4269.3</v>
      </c>
      <c r="AB51" s="133">
        <f t="shared" si="6"/>
        <v>0.18196379221868558</v>
      </c>
      <c r="AC51" s="132">
        <f t="shared" si="7"/>
        <v>15883.15</v>
      </c>
      <c r="AD51" s="133">
        <f t="shared" si="8"/>
        <v>0.67696301650814328</v>
      </c>
      <c r="AF51" s="127">
        <f>'App 4 - Recyclables'!V52+'App 4 - Recyclables'!AB52</f>
        <v>3309.9100000000003</v>
      </c>
      <c r="AG51" s="127">
        <f>'App 4 - Recyclables'!W52+'App 4 - Recyclables'!AC52</f>
        <v>3230.9100000000003</v>
      </c>
      <c r="AH51" s="127">
        <f>'App 4 - Recyclables'!X52+'App 4 - Recyclables'!AD52</f>
        <v>79</v>
      </c>
      <c r="AI51" s="127">
        <f>'App 5 - Organics'!V51+'App 5 - Organics'!AD51</f>
        <v>4925.46</v>
      </c>
      <c r="AJ51" s="127">
        <f>'App 5 - Organics'!W51+'App 5 - Organics'!AE51</f>
        <v>4865.5200000000004</v>
      </c>
      <c r="AK51" s="127">
        <f>'App 5 - Organics'!X51+'App 5 - Organics'!AF51</f>
        <v>59.94</v>
      </c>
      <c r="AL51" s="128">
        <f>'App 6 - Residual Waste'!AC51+'App 6 - Residual Waste'!AI51</f>
        <v>16521.05</v>
      </c>
      <c r="AM51" s="128">
        <f>'App 6 - Residual Waste'!AD51+'App 6 - Residual Waste'!AJ51</f>
        <v>2408</v>
      </c>
      <c r="AN51" s="128">
        <f>'App 6 - Residual Waste'!AE51+'App 6 - Residual Waste'!AK51</f>
        <v>14113.05</v>
      </c>
      <c r="AO51" s="121"/>
      <c r="AP51" s="128">
        <f t="shared" si="10"/>
        <v>24756.42</v>
      </c>
      <c r="AQ51" s="128">
        <f t="shared" si="11"/>
        <v>10504.43</v>
      </c>
      <c r="AR51" s="128">
        <f t="shared" si="12"/>
        <v>14251.99</v>
      </c>
      <c r="AS51" s="129">
        <f t="shared" si="13"/>
        <v>0.42431135034871764</v>
      </c>
    </row>
    <row r="52" spans="1:45" ht="15.75" x14ac:dyDescent="0.25">
      <c r="A52" s="8">
        <v>13340</v>
      </c>
      <c r="B52" s="8" t="s">
        <v>110</v>
      </c>
      <c r="C52" s="8" t="s">
        <v>21</v>
      </c>
      <c r="D52" s="29" t="s">
        <v>1</v>
      </c>
      <c r="E52" s="126"/>
      <c r="F52" s="127">
        <f>'App 4 - Recyclables'!V53</f>
        <v>777.94</v>
      </c>
      <c r="G52" s="127">
        <f>'App 4 - Recyclables'!W53</f>
        <v>739.11</v>
      </c>
      <c r="H52" s="127">
        <f>'App 4 - Recyclables'!X53</f>
        <v>38.83</v>
      </c>
      <c r="I52" s="127">
        <f>'App 5 - Organics'!V52</f>
        <v>50</v>
      </c>
      <c r="J52" s="127">
        <f>'App 5 - Organics'!W52</f>
        <v>50</v>
      </c>
      <c r="K52" s="127">
        <f>'App 5 - Organics'!X52</f>
        <v>0</v>
      </c>
      <c r="L52" s="128">
        <f>'App 6 - Residual Waste'!AC52</f>
        <v>2510.5</v>
      </c>
      <c r="M52" s="128">
        <f>'App 6 - Residual Waste'!AD52</f>
        <v>10.5</v>
      </c>
      <c r="N52" s="128">
        <f>'App 6 - Residual Waste'!AE52</f>
        <v>2500</v>
      </c>
      <c r="O52" s="121"/>
      <c r="P52" s="128">
        <f t="shared" si="14"/>
        <v>3338.44</v>
      </c>
      <c r="Q52" s="128">
        <f t="shared" si="14"/>
        <v>799.61</v>
      </c>
      <c r="R52" s="128">
        <f t="shared" si="14"/>
        <v>2538.83</v>
      </c>
      <c r="S52" s="129">
        <f t="shared" si="1"/>
        <v>0.23951606139394449</v>
      </c>
      <c r="U52" s="130">
        <f>(P52*1000)/'App 1 - Services'!F52/52</f>
        <v>5.6095036462008938</v>
      </c>
      <c r="V52" s="130">
        <f>(P52*1000)/'App 1 - Services'!G52/52</f>
        <v>9.019495536775672</v>
      </c>
      <c r="X52" s="131">
        <f t="shared" si="2"/>
        <v>0.23951606139394449</v>
      </c>
      <c r="Y52" s="132">
        <f t="shared" si="3"/>
        <v>777.94</v>
      </c>
      <c r="Z52" s="133">
        <f t="shared" si="4"/>
        <v>0.23302500569128096</v>
      </c>
      <c r="AA52" s="132">
        <f t="shared" si="5"/>
        <v>50</v>
      </c>
      <c r="AB52" s="133">
        <f t="shared" si="6"/>
        <v>1.4977055151507889E-2</v>
      </c>
      <c r="AC52" s="132">
        <f t="shared" si="7"/>
        <v>2510.5</v>
      </c>
      <c r="AD52" s="133">
        <f t="shared" si="8"/>
        <v>0.75199793915721114</v>
      </c>
      <c r="AF52" s="127">
        <f>'App 4 - Recyclables'!V53+'App 4 - Recyclables'!AB53</f>
        <v>777.94</v>
      </c>
      <c r="AG52" s="127">
        <f>'App 4 - Recyclables'!W53+'App 4 - Recyclables'!AC53</f>
        <v>739.11</v>
      </c>
      <c r="AH52" s="127">
        <f>'App 4 - Recyclables'!X53+'App 4 - Recyclables'!AD53</f>
        <v>38.83</v>
      </c>
      <c r="AI52" s="127">
        <f>'App 5 - Organics'!V52+'App 5 - Organics'!AD52</f>
        <v>50</v>
      </c>
      <c r="AJ52" s="127">
        <f>'App 5 - Organics'!W52+'App 5 - Organics'!AE52</f>
        <v>50</v>
      </c>
      <c r="AK52" s="127">
        <f>'App 5 - Organics'!X52+'App 5 - Organics'!AF52</f>
        <v>0</v>
      </c>
      <c r="AL52" s="128">
        <f>'App 6 - Residual Waste'!AC52+'App 6 - Residual Waste'!AI52</f>
        <v>2510.5</v>
      </c>
      <c r="AM52" s="128">
        <f>'App 6 - Residual Waste'!AD52+'App 6 - Residual Waste'!AJ52</f>
        <v>10.5</v>
      </c>
      <c r="AN52" s="128">
        <f>'App 6 - Residual Waste'!AE52+'App 6 - Residual Waste'!AK52</f>
        <v>2500</v>
      </c>
      <c r="AO52" s="121"/>
      <c r="AP52" s="128">
        <f t="shared" si="10"/>
        <v>3338.44</v>
      </c>
      <c r="AQ52" s="128">
        <f t="shared" si="11"/>
        <v>799.61</v>
      </c>
      <c r="AR52" s="128">
        <f t="shared" si="12"/>
        <v>2538.83</v>
      </c>
      <c r="AS52" s="129">
        <f t="shared" si="13"/>
        <v>0.23951606139394449</v>
      </c>
    </row>
    <row r="53" spans="1:45" ht="15.75" x14ac:dyDescent="0.25">
      <c r="A53" s="8">
        <v>13450</v>
      </c>
      <c r="B53" s="8" t="s">
        <v>111</v>
      </c>
      <c r="C53" s="8" t="s">
        <v>68</v>
      </c>
      <c r="D53" s="29" t="s">
        <v>1</v>
      </c>
      <c r="E53" s="126"/>
      <c r="F53" s="127">
        <f>'App 4 - Recyclables'!V54</f>
        <v>1793.37</v>
      </c>
      <c r="G53" s="127">
        <f>'App 4 - Recyclables'!W54</f>
        <v>1793.37</v>
      </c>
      <c r="H53" s="127">
        <f>'App 4 - Recyclables'!X54</f>
        <v>0</v>
      </c>
      <c r="I53" s="127">
        <f>'App 5 - Organics'!V53</f>
        <v>0</v>
      </c>
      <c r="J53" s="127">
        <f>'App 5 - Organics'!W53</f>
        <v>0</v>
      </c>
      <c r="K53" s="127">
        <f>'App 5 - Organics'!X53</f>
        <v>0</v>
      </c>
      <c r="L53" s="128">
        <f>'App 6 - Residual Waste'!AC53</f>
        <v>9416</v>
      </c>
      <c r="M53" s="128">
        <f>'App 6 - Residual Waste'!AD53</f>
        <v>0</v>
      </c>
      <c r="N53" s="128">
        <f>'App 6 - Residual Waste'!AE53</f>
        <v>9416</v>
      </c>
      <c r="O53" s="121"/>
      <c r="P53" s="128">
        <f t="shared" si="14"/>
        <v>11209.369999999999</v>
      </c>
      <c r="Q53" s="128">
        <f t="shared" si="14"/>
        <v>1793.37</v>
      </c>
      <c r="R53" s="128">
        <f t="shared" si="14"/>
        <v>9416</v>
      </c>
      <c r="S53" s="129">
        <f t="shared" si="1"/>
        <v>0.15998847392850804</v>
      </c>
      <c r="U53" s="130">
        <f>(P53*1000)/'App 1 - Services'!F53/52</f>
        <v>7.9450393517730964</v>
      </c>
      <c r="V53" s="130">
        <f>(P53*1000)/'App 1 - Services'!G53/52</f>
        <v>18.407036776731932</v>
      </c>
      <c r="X53" s="131">
        <f t="shared" si="2"/>
        <v>0.15998847392850804</v>
      </c>
      <c r="Y53" s="132">
        <f t="shared" si="3"/>
        <v>1793.37</v>
      </c>
      <c r="Z53" s="133">
        <f t="shared" si="4"/>
        <v>0.15998847392850804</v>
      </c>
      <c r="AA53" s="132">
        <f t="shared" si="5"/>
        <v>0</v>
      </c>
      <c r="AB53" s="133">
        <f t="shared" si="6"/>
        <v>0</v>
      </c>
      <c r="AC53" s="132">
        <f t="shared" si="7"/>
        <v>9416</v>
      </c>
      <c r="AD53" s="133">
        <f t="shared" si="8"/>
        <v>0.8400115260714921</v>
      </c>
      <c r="AF53" s="127">
        <f>'App 4 - Recyclables'!V54+'App 4 - Recyclables'!AB54</f>
        <v>1793.37</v>
      </c>
      <c r="AG53" s="127">
        <f>'App 4 - Recyclables'!W54+'App 4 - Recyclables'!AC54</f>
        <v>1793.37</v>
      </c>
      <c r="AH53" s="127">
        <f>'App 4 - Recyclables'!X54+'App 4 - Recyclables'!AD54</f>
        <v>0</v>
      </c>
      <c r="AI53" s="127">
        <f>'App 5 - Organics'!V53+'App 5 - Organics'!AD53</f>
        <v>0</v>
      </c>
      <c r="AJ53" s="127">
        <f>'App 5 - Organics'!W53+'App 5 - Organics'!AE53</f>
        <v>0</v>
      </c>
      <c r="AK53" s="127">
        <f>'App 5 - Organics'!X53+'App 5 - Organics'!AF53</f>
        <v>0</v>
      </c>
      <c r="AL53" s="128">
        <f>'App 6 - Residual Waste'!AC53+'App 6 - Residual Waste'!AI53</f>
        <v>9416</v>
      </c>
      <c r="AM53" s="128">
        <f>'App 6 - Residual Waste'!AD53+'App 6 - Residual Waste'!AJ53</f>
        <v>0</v>
      </c>
      <c r="AN53" s="128">
        <f>'App 6 - Residual Waste'!AE53+'App 6 - Residual Waste'!AK53</f>
        <v>9416</v>
      </c>
      <c r="AO53" s="121"/>
      <c r="AP53" s="128">
        <f t="shared" si="10"/>
        <v>11209.369999999999</v>
      </c>
      <c r="AQ53" s="128">
        <f t="shared" si="11"/>
        <v>1793.37</v>
      </c>
      <c r="AR53" s="128">
        <f t="shared" si="12"/>
        <v>9416</v>
      </c>
      <c r="AS53" s="129">
        <f t="shared" si="13"/>
        <v>0.15998847392850804</v>
      </c>
    </row>
    <row r="54" spans="1:45" ht="15.75" x14ac:dyDescent="0.25">
      <c r="A54" s="8">
        <v>13550</v>
      </c>
      <c r="B54" s="8" t="s">
        <v>70</v>
      </c>
      <c r="C54" s="8" t="s">
        <v>16</v>
      </c>
      <c r="D54" s="29" t="s">
        <v>1</v>
      </c>
      <c r="E54" s="126"/>
      <c r="F54" s="127">
        <f>'App 4 - Recyclables'!V55</f>
        <v>2680.2400000000002</v>
      </c>
      <c r="G54" s="127">
        <f>'App 4 - Recyclables'!W55</f>
        <v>2374.4500000000003</v>
      </c>
      <c r="H54" s="127">
        <f>'App 4 - Recyclables'!X55</f>
        <v>305.78999999999996</v>
      </c>
      <c r="I54" s="127">
        <f>'App 5 - Organics'!V54</f>
        <v>2581.3199999999997</v>
      </c>
      <c r="J54" s="127">
        <f>'App 5 - Organics'!W54</f>
        <v>2542.38</v>
      </c>
      <c r="K54" s="127">
        <f>'App 5 - Organics'!X54</f>
        <v>38.94</v>
      </c>
      <c r="L54" s="128">
        <f>'App 6 - Residual Waste'!AC54</f>
        <v>4313.84</v>
      </c>
      <c r="M54" s="128">
        <f>'App 6 - Residual Waste'!AD54</f>
        <v>36.970000000000027</v>
      </c>
      <c r="N54" s="128">
        <f>'App 6 - Residual Waste'!AE54</f>
        <v>4276.87</v>
      </c>
      <c r="O54" s="121"/>
      <c r="P54" s="128">
        <f t="shared" si="14"/>
        <v>9575.4</v>
      </c>
      <c r="Q54" s="128">
        <f t="shared" si="14"/>
        <v>4953.8</v>
      </c>
      <c r="R54" s="128">
        <f t="shared" si="14"/>
        <v>4621.5999999999995</v>
      </c>
      <c r="S54" s="129">
        <f t="shared" si="1"/>
        <v>0.51734653382626317</v>
      </c>
      <c r="U54" s="130">
        <f>(P54*1000)/'App 1 - Services'!F54/52</f>
        <v>13.866137627432808</v>
      </c>
      <c r="V54" s="130">
        <f>(P54*1000)/'App 1 - Services'!G54/52</f>
        <v>33.682514668430159</v>
      </c>
      <c r="X54" s="131">
        <f t="shared" si="2"/>
        <v>0.51734653382626317</v>
      </c>
      <c r="Y54" s="132">
        <f t="shared" si="3"/>
        <v>2680.2400000000002</v>
      </c>
      <c r="Z54" s="133">
        <f t="shared" si="4"/>
        <v>0.27990893330826916</v>
      </c>
      <c r="AA54" s="132">
        <f t="shared" si="5"/>
        <v>2581.3199999999997</v>
      </c>
      <c r="AB54" s="133">
        <f t="shared" si="6"/>
        <v>0.26957829437934705</v>
      </c>
      <c r="AC54" s="132">
        <f t="shared" si="7"/>
        <v>4313.84</v>
      </c>
      <c r="AD54" s="133">
        <f t="shared" si="8"/>
        <v>0.45051277231238385</v>
      </c>
      <c r="AF54" s="127">
        <f>'App 4 - Recyclables'!V55+'App 4 - Recyclables'!AB55</f>
        <v>2688.42</v>
      </c>
      <c r="AG54" s="127">
        <f>'App 4 - Recyclables'!W55+'App 4 - Recyclables'!AC55</f>
        <v>2382.63</v>
      </c>
      <c r="AH54" s="127">
        <f>'App 4 - Recyclables'!X55+'App 4 - Recyclables'!AD55</f>
        <v>305.78999999999996</v>
      </c>
      <c r="AI54" s="127">
        <f>'App 5 - Organics'!V54+'App 5 - Organics'!AD54</f>
        <v>2799.9799999999996</v>
      </c>
      <c r="AJ54" s="127">
        <f>'App 5 - Organics'!W54+'App 5 - Organics'!AE54</f>
        <v>2761.04</v>
      </c>
      <c r="AK54" s="127">
        <f>'App 5 - Organics'!X54+'App 5 - Organics'!AF54</f>
        <v>38.94</v>
      </c>
      <c r="AL54" s="128">
        <f>'App 6 - Residual Waste'!AC54+'App 6 - Residual Waste'!AI54</f>
        <v>5303.37</v>
      </c>
      <c r="AM54" s="128">
        <f>'App 6 - Residual Waste'!AD54+'App 6 - Residual Waste'!AJ54</f>
        <v>36.970000000000027</v>
      </c>
      <c r="AN54" s="128">
        <f>'App 6 - Residual Waste'!AE54+'App 6 - Residual Waste'!AK54</f>
        <v>5266.4</v>
      </c>
      <c r="AO54" s="121"/>
      <c r="AP54" s="128">
        <f t="shared" si="10"/>
        <v>10791.77</v>
      </c>
      <c r="AQ54" s="128">
        <f t="shared" si="11"/>
        <v>5180.6400000000003</v>
      </c>
      <c r="AR54" s="128">
        <f t="shared" si="12"/>
        <v>5611.1299999999992</v>
      </c>
      <c r="AS54" s="129">
        <f t="shared" si="13"/>
        <v>0.48005470835646052</v>
      </c>
    </row>
    <row r="55" spans="1:45" ht="15.75" x14ac:dyDescent="0.25">
      <c r="A55" s="8">
        <v>13660</v>
      </c>
      <c r="B55" s="8" t="s">
        <v>112</v>
      </c>
      <c r="C55" s="8" t="s">
        <v>16</v>
      </c>
      <c r="D55" s="29" t="s">
        <v>1</v>
      </c>
      <c r="E55" s="126"/>
      <c r="F55" s="127">
        <f>'App 4 - Recyclables'!V56</f>
        <v>578.37</v>
      </c>
      <c r="G55" s="127">
        <f>'App 4 - Recyclables'!W56</f>
        <v>547.11</v>
      </c>
      <c r="H55" s="127">
        <f>'App 4 - Recyclables'!X56</f>
        <v>31.259999999999998</v>
      </c>
      <c r="I55" s="127">
        <f>'App 5 - Organics'!V55</f>
        <v>571.71</v>
      </c>
      <c r="J55" s="127">
        <f>'App 5 - Organics'!W55</f>
        <v>559.71</v>
      </c>
      <c r="K55" s="127">
        <f>'App 5 - Organics'!X55</f>
        <v>12</v>
      </c>
      <c r="L55" s="128">
        <f>'App 6 - Residual Waste'!AC55</f>
        <v>1181.4499999999998</v>
      </c>
      <c r="M55" s="128">
        <f>'App 6 - Residual Waste'!AD55</f>
        <v>3.92999999999995</v>
      </c>
      <c r="N55" s="128">
        <f>'App 6 - Residual Waste'!AE55</f>
        <v>1177.52</v>
      </c>
      <c r="O55" s="121"/>
      <c r="P55" s="128">
        <f t="shared" si="14"/>
        <v>2331.5299999999997</v>
      </c>
      <c r="Q55" s="128">
        <f t="shared" si="14"/>
        <v>1110.75</v>
      </c>
      <c r="R55" s="128">
        <f t="shared" si="14"/>
        <v>1220.78</v>
      </c>
      <c r="S55" s="129">
        <f t="shared" si="1"/>
        <v>0.47640390644769748</v>
      </c>
      <c r="U55" s="130">
        <f>(P55*1000)/'App 1 - Services'!F55/52</f>
        <v>9.0763391466832744</v>
      </c>
      <c r="V55" s="130">
        <f>(P55*1000)/'App 1 - Services'!G55/52</f>
        <v>13.578775101337182</v>
      </c>
      <c r="X55" s="131">
        <f t="shared" si="2"/>
        <v>0.47640390644769748</v>
      </c>
      <c r="Y55" s="132">
        <f t="shared" si="3"/>
        <v>578.37</v>
      </c>
      <c r="Z55" s="133">
        <f t="shared" si="4"/>
        <v>0.24806457562201648</v>
      </c>
      <c r="AA55" s="132">
        <f t="shared" si="5"/>
        <v>571.71</v>
      </c>
      <c r="AB55" s="133">
        <f t="shared" si="6"/>
        <v>0.24520808224642193</v>
      </c>
      <c r="AC55" s="132">
        <f t="shared" si="7"/>
        <v>1181.4499999999998</v>
      </c>
      <c r="AD55" s="133">
        <f t="shared" si="8"/>
        <v>0.50672734213156168</v>
      </c>
      <c r="AF55" s="127">
        <f>'App 4 - Recyclables'!V56+'App 4 - Recyclables'!AB56</f>
        <v>581.37</v>
      </c>
      <c r="AG55" s="127">
        <f>'App 4 - Recyclables'!W56+'App 4 - Recyclables'!AC56</f>
        <v>549.61</v>
      </c>
      <c r="AH55" s="127">
        <f>'App 4 - Recyclables'!X56+'App 4 - Recyclables'!AD56</f>
        <v>31.759999999999998</v>
      </c>
      <c r="AI55" s="127">
        <f>'App 5 - Organics'!V55+'App 5 - Organics'!AD55</f>
        <v>579.71</v>
      </c>
      <c r="AJ55" s="127">
        <f>'App 5 - Organics'!W55+'App 5 - Organics'!AE55</f>
        <v>567.71</v>
      </c>
      <c r="AK55" s="127">
        <f>'App 5 - Organics'!X55+'App 5 - Organics'!AF55</f>
        <v>12</v>
      </c>
      <c r="AL55" s="128">
        <f>'App 6 - Residual Waste'!AC55+'App 6 - Residual Waste'!AI55</f>
        <v>1189.4499999999998</v>
      </c>
      <c r="AM55" s="128">
        <f>'App 6 - Residual Waste'!AD55+'App 6 - Residual Waste'!AJ55</f>
        <v>3.92999999999995</v>
      </c>
      <c r="AN55" s="128">
        <f>'App 6 - Residual Waste'!AE55+'App 6 - Residual Waste'!AK55</f>
        <v>1185.52</v>
      </c>
      <c r="AO55" s="121"/>
      <c r="AP55" s="128">
        <f t="shared" si="10"/>
        <v>2350.5299999999997</v>
      </c>
      <c r="AQ55" s="128">
        <f t="shared" si="11"/>
        <v>1121.25</v>
      </c>
      <c r="AR55" s="128">
        <f t="shared" si="12"/>
        <v>1229.28</v>
      </c>
      <c r="AS55" s="129">
        <f t="shared" si="13"/>
        <v>0.47702007632321225</v>
      </c>
    </row>
    <row r="56" spans="1:45" ht="15.75" x14ac:dyDescent="0.25">
      <c r="A56" s="8">
        <v>13800</v>
      </c>
      <c r="B56" s="8" t="s">
        <v>113</v>
      </c>
      <c r="C56" s="8" t="s">
        <v>18</v>
      </c>
      <c r="D56" s="29" t="s">
        <v>2</v>
      </c>
      <c r="E56" s="126"/>
      <c r="F56" s="127">
        <f>'App 4 - Recyclables'!V57</f>
        <v>6998.67</v>
      </c>
      <c r="G56" s="127">
        <f>'App 4 - Recyclables'!W57</f>
        <v>6998.67</v>
      </c>
      <c r="H56" s="127">
        <f>'App 4 - Recyclables'!X57</f>
        <v>0</v>
      </c>
      <c r="I56" s="127">
        <f>'App 5 - Organics'!V56</f>
        <v>5669</v>
      </c>
      <c r="J56" s="127">
        <f>'App 5 - Organics'!W56</f>
        <v>5669</v>
      </c>
      <c r="K56" s="127">
        <f>'App 5 - Organics'!X56</f>
        <v>0</v>
      </c>
      <c r="L56" s="128">
        <f>'App 6 - Residual Waste'!AC56</f>
        <v>22014</v>
      </c>
      <c r="M56" s="128">
        <f>'App 6 - Residual Waste'!AD56</f>
        <v>888</v>
      </c>
      <c r="N56" s="128">
        <f>'App 6 - Residual Waste'!AE56</f>
        <v>21126</v>
      </c>
      <c r="O56" s="121"/>
      <c r="P56" s="128">
        <f t="shared" si="14"/>
        <v>34681.67</v>
      </c>
      <c r="Q56" s="128">
        <f t="shared" si="14"/>
        <v>13555.67</v>
      </c>
      <c r="R56" s="128">
        <f t="shared" si="14"/>
        <v>21126</v>
      </c>
      <c r="S56" s="129">
        <f t="shared" si="1"/>
        <v>0.39085978270365873</v>
      </c>
      <c r="U56" s="130">
        <f>(P56*1000)/'App 1 - Services'!F56/52</f>
        <v>9.7857150112637523</v>
      </c>
      <c r="V56" s="130">
        <f>(P56*1000)/'App 1 - Services'!G56/52</f>
        <v>24.795716867711068</v>
      </c>
      <c r="X56" s="131">
        <f t="shared" si="2"/>
        <v>0.39085978270365873</v>
      </c>
      <c r="Y56" s="132">
        <f t="shared" si="3"/>
        <v>6998.67</v>
      </c>
      <c r="Z56" s="133">
        <f t="shared" si="4"/>
        <v>0.20179737596257621</v>
      </c>
      <c r="AA56" s="132">
        <f t="shared" si="5"/>
        <v>5669</v>
      </c>
      <c r="AB56" s="133">
        <f t="shared" si="6"/>
        <v>0.16345810337276148</v>
      </c>
      <c r="AC56" s="132">
        <f t="shared" si="7"/>
        <v>22014</v>
      </c>
      <c r="AD56" s="133">
        <f t="shared" si="8"/>
        <v>0.63474452066466236</v>
      </c>
      <c r="AF56" s="127">
        <f>'App 4 - Recyclables'!V57+'App 4 - Recyclables'!AB57</f>
        <v>6999.87</v>
      </c>
      <c r="AG56" s="127">
        <f>'App 4 - Recyclables'!W57+'App 4 - Recyclables'!AC57</f>
        <v>6999.87</v>
      </c>
      <c r="AH56" s="127">
        <f>'App 4 - Recyclables'!X57+'App 4 - Recyclables'!AD57</f>
        <v>0</v>
      </c>
      <c r="AI56" s="127">
        <f>'App 5 - Organics'!V56+'App 5 - Organics'!AD56</f>
        <v>5690</v>
      </c>
      <c r="AJ56" s="127">
        <f>'App 5 - Organics'!W56+'App 5 - Organics'!AE56</f>
        <v>5690</v>
      </c>
      <c r="AK56" s="127">
        <f>'App 5 - Organics'!X56+'App 5 - Organics'!AF56</f>
        <v>0</v>
      </c>
      <c r="AL56" s="128">
        <f>'App 6 - Residual Waste'!AC56+'App 6 - Residual Waste'!AI56</f>
        <v>22969</v>
      </c>
      <c r="AM56" s="128">
        <f>'App 6 - Residual Waste'!AD56+'App 6 - Residual Waste'!AJ56</f>
        <v>888</v>
      </c>
      <c r="AN56" s="128">
        <f>'App 6 - Residual Waste'!AE56+'App 6 - Residual Waste'!AK56</f>
        <v>22081</v>
      </c>
      <c r="AO56" s="121"/>
      <c r="AP56" s="128">
        <f t="shared" si="10"/>
        <v>35658.869999999995</v>
      </c>
      <c r="AQ56" s="128">
        <f t="shared" si="11"/>
        <v>13577.869999999999</v>
      </c>
      <c r="AR56" s="128">
        <f t="shared" si="12"/>
        <v>22081</v>
      </c>
      <c r="AS56" s="129">
        <f t="shared" si="13"/>
        <v>0.38077117979341468</v>
      </c>
    </row>
    <row r="57" spans="1:45" ht="15.75" x14ac:dyDescent="0.25">
      <c r="A57" s="8">
        <v>13850</v>
      </c>
      <c r="B57" s="8" t="s">
        <v>114</v>
      </c>
      <c r="C57" s="8" t="s">
        <v>68</v>
      </c>
      <c r="D57" s="29" t="s">
        <v>1</v>
      </c>
      <c r="E57" s="126"/>
      <c r="F57" s="127">
        <f>'App 4 - Recyclables'!V58</f>
        <v>2267.1999999999998</v>
      </c>
      <c r="G57" s="127">
        <f>'App 4 - Recyclables'!W58</f>
        <v>2267.1999999999998</v>
      </c>
      <c r="H57" s="127">
        <f>'App 4 - Recyclables'!X58</f>
        <v>0</v>
      </c>
      <c r="I57" s="127">
        <f>'App 5 - Organics'!V57</f>
        <v>3800</v>
      </c>
      <c r="J57" s="127">
        <f>'App 5 - Organics'!W57</f>
        <v>3800</v>
      </c>
      <c r="K57" s="127">
        <f>'App 5 - Organics'!X57</f>
        <v>0</v>
      </c>
      <c r="L57" s="128">
        <f>'App 6 - Residual Waste'!AC57</f>
        <v>3550</v>
      </c>
      <c r="M57" s="128">
        <f>'App 6 - Residual Waste'!AD57</f>
        <v>0</v>
      </c>
      <c r="N57" s="128">
        <f>'App 6 - Residual Waste'!AE57</f>
        <v>3550</v>
      </c>
      <c r="O57" s="121"/>
      <c r="P57" s="128">
        <f t="shared" si="14"/>
        <v>9617.2000000000007</v>
      </c>
      <c r="Q57" s="128">
        <f t="shared" si="14"/>
        <v>6067.2</v>
      </c>
      <c r="R57" s="128">
        <f t="shared" si="14"/>
        <v>3550</v>
      </c>
      <c r="S57" s="129">
        <f t="shared" si="1"/>
        <v>0.63086969180218766</v>
      </c>
      <c r="U57" s="130">
        <f>(P57*1000)/'App 1 - Services'!F57/52</f>
        <v>65.351997825496056</v>
      </c>
      <c r="V57" s="130">
        <f>(P57*1000)/'App 1 - Services'!G57/52</f>
        <v>102.80497712404328</v>
      </c>
      <c r="X57" s="131">
        <f t="shared" si="2"/>
        <v>0.63086969180218766</v>
      </c>
      <c r="Y57" s="132">
        <f t="shared" si="3"/>
        <v>2267.1999999999998</v>
      </c>
      <c r="Z57" s="133">
        <f t="shared" si="4"/>
        <v>0.23574429147776896</v>
      </c>
      <c r="AA57" s="132">
        <f t="shared" si="5"/>
        <v>3800</v>
      </c>
      <c r="AB57" s="133">
        <f t="shared" si="6"/>
        <v>0.39512540032441873</v>
      </c>
      <c r="AC57" s="132">
        <f t="shared" si="7"/>
        <v>3550</v>
      </c>
      <c r="AD57" s="133">
        <f t="shared" si="8"/>
        <v>0.36913030819781223</v>
      </c>
      <c r="AF57" s="127">
        <f>'App 4 - Recyclables'!V58+'App 4 - Recyclables'!AB58</f>
        <v>2267.1999999999998</v>
      </c>
      <c r="AG57" s="127">
        <f>'App 4 - Recyclables'!W58+'App 4 - Recyclables'!AC58</f>
        <v>2267.1999999999998</v>
      </c>
      <c r="AH57" s="127">
        <f>'App 4 - Recyclables'!X58+'App 4 - Recyclables'!AD58</f>
        <v>0</v>
      </c>
      <c r="AI57" s="127">
        <f>'App 5 - Organics'!V57+'App 5 - Organics'!AD57</f>
        <v>3800</v>
      </c>
      <c r="AJ57" s="127">
        <f>'App 5 - Organics'!W57+'App 5 - Organics'!AE57</f>
        <v>3800</v>
      </c>
      <c r="AK57" s="127">
        <f>'App 5 - Organics'!X57+'App 5 - Organics'!AF57</f>
        <v>0</v>
      </c>
      <c r="AL57" s="128">
        <f>'App 6 - Residual Waste'!AC57+'App 6 - Residual Waste'!AI57</f>
        <v>3550</v>
      </c>
      <c r="AM57" s="128">
        <f>'App 6 - Residual Waste'!AD57+'App 6 - Residual Waste'!AJ57</f>
        <v>0</v>
      </c>
      <c r="AN57" s="128">
        <f>'App 6 - Residual Waste'!AE57+'App 6 - Residual Waste'!AK57</f>
        <v>3550</v>
      </c>
      <c r="AO57" s="121"/>
      <c r="AP57" s="128">
        <f t="shared" si="10"/>
        <v>9617.2000000000007</v>
      </c>
      <c r="AQ57" s="128">
        <f t="shared" si="11"/>
        <v>6067.2</v>
      </c>
      <c r="AR57" s="128">
        <f t="shared" si="12"/>
        <v>3550</v>
      </c>
      <c r="AS57" s="129">
        <f t="shared" si="13"/>
        <v>0.63086969180218766</v>
      </c>
    </row>
    <row r="58" spans="1:45" ht="15.75" x14ac:dyDescent="0.25">
      <c r="A58" s="8">
        <v>13910</v>
      </c>
      <c r="B58" s="8" t="s">
        <v>115</v>
      </c>
      <c r="C58" s="8" t="s">
        <v>67</v>
      </c>
      <c r="D58" s="29" t="s">
        <v>1</v>
      </c>
      <c r="E58" s="126"/>
      <c r="F58" s="127">
        <f>'App 4 - Recyclables'!V59</f>
        <v>21781.040000000001</v>
      </c>
      <c r="G58" s="127">
        <f>'App 4 - Recyclables'!W59</f>
        <v>17573.04</v>
      </c>
      <c r="H58" s="127">
        <f>'App 4 - Recyclables'!X59</f>
        <v>4208</v>
      </c>
      <c r="I58" s="127">
        <f>'App 5 - Organics'!V58</f>
        <v>9762</v>
      </c>
      <c r="J58" s="127">
        <f>'App 5 - Organics'!W58</f>
        <v>0</v>
      </c>
      <c r="K58" s="127">
        <f>'App 5 - Organics'!X58</f>
        <v>9762</v>
      </c>
      <c r="L58" s="128">
        <f>'App 6 - Residual Waste'!AC58</f>
        <v>23337</v>
      </c>
      <c r="M58" s="128">
        <f>'App 6 - Residual Waste'!AD58</f>
        <v>0</v>
      </c>
      <c r="N58" s="128">
        <f>'App 6 - Residual Waste'!AE58</f>
        <v>23337</v>
      </c>
      <c r="O58" s="121"/>
      <c r="P58" s="128">
        <f t="shared" si="14"/>
        <v>54880.04</v>
      </c>
      <c r="Q58" s="128">
        <f t="shared" si="14"/>
        <v>17573.04</v>
      </c>
      <c r="R58" s="128">
        <f t="shared" si="14"/>
        <v>37307</v>
      </c>
      <c r="S58" s="129">
        <f t="shared" si="1"/>
        <v>0.32020822142257915</v>
      </c>
      <c r="U58" s="130">
        <f>(P58*1000)/'App 1 - Services'!F58/52</f>
        <v>54.810978167508935</v>
      </c>
      <c r="V58" s="130">
        <f>(P58*1000)/'App 1 - Services'!G58/52</f>
        <v>92.084930164504371</v>
      </c>
      <c r="X58" s="131">
        <f t="shared" si="2"/>
        <v>0.32020822142257915</v>
      </c>
      <c r="Y58" s="132">
        <f t="shared" si="3"/>
        <v>21781.040000000001</v>
      </c>
      <c r="Z58" s="133">
        <f t="shared" si="4"/>
        <v>0.39688455037569215</v>
      </c>
      <c r="AA58" s="132">
        <f t="shared" si="5"/>
        <v>9762</v>
      </c>
      <c r="AB58" s="133">
        <f t="shared" si="6"/>
        <v>0.1778788790970269</v>
      </c>
      <c r="AC58" s="132">
        <f t="shared" si="7"/>
        <v>23337</v>
      </c>
      <c r="AD58" s="133">
        <f t="shared" si="8"/>
        <v>0.42523657052728098</v>
      </c>
      <c r="AF58" s="127">
        <f>'App 4 - Recyclables'!V59+'App 4 - Recyclables'!AB59</f>
        <v>22031.040000000001</v>
      </c>
      <c r="AG58" s="127">
        <f>'App 4 - Recyclables'!W59+'App 4 - Recyclables'!AC59</f>
        <v>17823.04</v>
      </c>
      <c r="AH58" s="127">
        <f>'App 4 - Recyclables'!X59+'App 4 - Recyclables'!AD59</f>
        <v>4208</v>
      </c>
      <c r="AI58" s="127">
        <f>'App 5 - Organics'!V58+'App 5 - Organics'!AD58</f>
        <v>12192</v>
      </c>
      <c r="AJ58" s="127">
        <f>'App 5 - Organics'!W58+'App 5 - Organics'!AE58</f>
        <v>2429</v>
      </c>
      <c r="AK58" s="127">
        <f>'App 5 - Organics'!X58+'App 5 - Organics'!AF58</f>
        <v>9763</v>
      </c>
      <c r="AL58" s="128">
        <f>'App 6 - Residual Waste'!AC58+'App 6 - Residual Waste'!AI58</f>
        <v>23649</v>
      </c>
      <c r="AM58" s="128">
        <f>'App 6 - Residual Waste'!AD58+'App 6 - Residual Waste'!AJ58</f>
        <v>0</v>
      </c>
      <c r="AN58" s="128">
        <f>'App 6 - Residual Waste'!AE58+'App 6 - Residual Waste'!AK58</f>
        <v>23649</v>
      </c>
      <c r="AO58" s="121"/>
      <c r="AP58" s="128">
        <f t="shared" si="10"/>
        <v>57872.04</v>
      </c>
      <c r="AQ58" s="128">
        <f t="shared" si="11"/>
        <v>20252.04</v>
      </c>
      <c r="AR58" s="128">
        <f t="shared" si="12"/>
        <v>37620</v>
      </c>
      <c r="AS58" s="129">
        <f t="shared" si="13"/>
        <v>0.34994515486234806</v>
      </c>
    </row>
    <row r="59" spans="1:45" ht="15.75" x14ac:dyDescent="0.25">
      <c r="A59" s="8">
        <v>14000</v>
      </c>
      <c r="B59" s="8" t="s">
        <v>116</v>
      </c>
      <c r="C59" s="8" t="s">
        <v>24</v>
      </c>
      <c r="D59" s="29" t="s">
        <v>2</v>
      </c>
      <c r="E59" s="126"/>
      <c r="F59" s="127">
        <f>'App 4 - Recyclables'!V60</f>
        <v>11626.85</v>
      </c>
      <c r="G59" s="127">
        <f>'App 4 - Recyclables'!W60</f>
        <v>10939.85</v>
      </c>
      <c r="H59" s="127">
        <f>'App 4 - Recyclables'!X60</f>
        <v>687</v>
      </c>
      <c r="I59" s="127">
        <f>'App 5 - Organics'!V59</f>
        <v>19076</v>
      </c>
      <c r="J59" s="127">
        <f>'App 5 - Organics'!W59</f>
        <v>19076</v>
      </c>
      <c r="K59" s="127">
        <f>'App 5 - Organics'!X59</f>
        <v>0</v>
      </c>
      <c r="L59" s="128">
        <f>'App 6 - Residual Waste'!AC59</f>
        <v>31363</v>
      </c>
      <c r="M59" s="128">
        <f>'App 6 - Residual Waste'!AD59</f>
        <v>321</v>
      </c>
      <c r="N59" s="128">
        <f>'App 6 - Residual Waste'!AE59</f>
        <v>31042</v>
      </c>
      <c r="O59" s="121"/>
      <c r="P59" s="128">
        <f t="shared" si="14"/>
        <v>62065.85</v>
      </c>
      <c r="Q59" s="128">
        <f t="shared" si="14"/>
        <v>30336.85</v>
      </c>
      <c r="R59" s="128">
        <f t="shared" si="14"/>
        <v>31729</v>
      </c>
      <c r="S59" s="129">
        <f t="shared" si="1"/>
        <v>0.4887848953973884</v>
      </c>
      <c r="U59" s="130">
        <f>(P59*1000)/'App 1 - Services'!F59/52</f>
        <v>7.7468588611917699</v>
      </c>
      <c r="V59" s="130">
        <f>(P59*1000)/'App 1 - Services'!G59/52</f>
        <v>22.309795111430624</v>
      </c>
      <c r="X59" s="131">
        <f t="shared" si="2"/>
        <v>0.4887848953973884</v>
      </c>
      <c r="Y59" s="132">
        <f t="shared" si="3"/>
        <v>11626.85</v>
      </c>
      <c r="Z59" s="133">
        <f t="shared" si="4"/>
        <v>0.18733087519142977</v>
      </c>
      <c r="AA59" s="132">
        <f t="shared" si="5"/>
        <v>19076</v>
      </c>
      <c r="AB59" s="133">
        <f t="shared" si="6"/>
        <v>0.30735098286739004</v>
      </c>
      <c r="AC59" s="132">
        <f t="shared" si="7"/>
        <v>31363</v>
      </c>
      <c r="AD59" s="133">
        <f t="shared" si="8"/>
        <v>0.50531814194118019</v>
      </c>
      <c r="AF59" s="127">
        <f>'App 4 - Recyclables'!V60+'App 4 - Recyclables'!AB60</f>
        <v>11626.85</v>
      </c>
      <c r="AG59" s="127">
        <f>'App 4 - Recyclables'!W60+'App 4 - Recyclables'!AC60</f>
        <v>10939.85</v>
      </c>
      <c r="AH59" s="127">
        <f>'App 4 - Recyclables'!X60+'App 4 - Recyclables'!AD60</f>
        <v>687</v>
      </c>
      <c r="AI59" s="127">
        <f>'App 5 - Organics'!V59+'App 5 - Organics'!AD59</f>
        <v>19076</v>
      </c>
      <c r="AJ59" s="127">
        <f>'App 5 - Organics'!W59+'App 5 - Organics'!AE59</f>
        <v>19076</v>
      </c>
      <c r="AK59" s="127">
        <f>'App 5 - Organics'!X59+'App 5 - Organics'!AF59</f>
        <v>0</v>
      </c>
      <c r="AL59" s="128">
        <f>'App 6 - Residual Waste'!AC59+'App 6 - Residual Waste'!AI59</f>
        <v>31363</v>
      </c>
      <c r="AM59" s="128">
        <f>'App 6 - Residual Waste'!AD59+'App 6 - Residual Waste'!AJ59</f>
        <v>321</v>
      </c>
      <c r="AN59" s="128">
        <f>'App 6 - Residual Waste'!AE59+'App 6 - Residual Waste'!AK59</f>
        <v>31042</v>
      </c>
      <c r="AO59" s="121"/>
      <c r="AP59" s="128">
        <f t="shared" si="10"/>
        <v>62065.85</v>
      </c>
      <c r="AQ59" s="128">
        <f t="shared" si="11"/>
        <v>30336.85</v>
      </c>
      <c r="AR59" s="128">
        <f t="shared" si="12"/>
        <v>31729</v>
      </c>
      <c r="AS59" s="129">
        <f t="shared" si="13"/>
        <v>0.4887848953973884</v>
      </c>
    </row>
    <row r="60" spans="1:45" ht="15.75" x14ac:dyDescent="0.25">
      <c r="A60" s="8">
        <v>14100</v>
      </c>
      <c r="B60" s="8" t="s">
        <v>49</v>
      </c>
      <c r="C60" s="8" t="s">
        <v>24</v>
      </c>
      <c r="D60" s="29" t="s">
        <v>2</v>
      </c>
      <c r="E60" s="126"/>
      <c r="F60" s="127">
        <f>'App 4 - Recyclables'!V61</f>
        <v>1195.77</v>
      </c>
      <c r="G60" s="127">
        <f>'App 4 - Recyclables'!W61</f>
        <v>1195.77</v>
      </c>
      <c r="H60" s="127">
        <f>'App 4 - Recyclables'!X61</f>
        <v>0</v>
      </c>
      <c r="I60" s="127">
        <f>'App 5 - Organics'!V60</f>
        <v>1415.42</v>
      </c>
      <c r="J60" s="127">
        <f>'App 5 - Organics'!W60</f>
        <v>1415.42</v>
      </c>
      <c r="K60" s="127">
        <f>'App 5 - Organics'!X60</f>
        <v>0</v>
      </c>
      <c r="L60" s="128">
        <f>'App 6 - Residual Waste'!AC60</f>
        <v>3222.36</v>
      </c>
      <c r="M60" s="128">
        <f>'App 6 - Residual Waste'!AD60</f>
        <v>226.56</v>
      </c>
      <c r="N60" s="128">
        <f>'App 6 - Residual Waste'!AE60</f>
        <v>2995.8</v>
      </c>
      <c r="O60" s="121"/>
      <c r="P60" s="128">
        <f t="shared" si="14"/>
        <v>5833.55</v>
      </c>
      <c r="Q60" s="128">
        <f t="shared" si="14"/>
        <v>2837.75</v>
      </c>
      <c r="R60" s="128">
        <f t="shared" si="14"/>
        <v>2995.8</v>
      </c>
      <c r="S60" s="129">
        <f t="shared" si="1"/>
        <v>0.48645336030376013</v>
      </c>
      <c r="U60" s="130">
        <f>(P60*1000)/'App 1 - Services'!F60/52</f>
        <v>7.992565819760177</v>
      </c>
      <c r="V60" s="130">
        <f>(P60*1000)/'App 1 - Services'!G60/52</f>
        <v>19.42237774344769</v>
      </c>
      <c r="X60" s="131">
        <f t="shared" si="2"/>
        <v>0.48645336030376013</v>
      </c>
      <c r="Y60" s="132">
        <f t="shared" si="3"/>
        <v>1195.77</v>
      </c>
      <c r="Z60" s="133">
        <f t="shared" si="4"/>
        <v>0.20498152925748472</v>
      </c>
      <c r="AA60" s="132">
        <f t="shared" si="5"/>
        <v>1415.42</v>
      </c>
      <c r="AB60" s="133">
        <f t="shared" si="6"/>
        <v>0.24263441643596095</v>
      </c>
      <c r="AC60" s="132">
        <f t="shared" si="7"/>
        <v>3222.36</v>
      </c>
      <c r="AD60" s="133">
        <f t="shared" si="8"/>
        <v>0.55238405430655435</v>
      </c>
      <c r="AF60" s="127">
        <f>'App 4 - Recyclables'!V61+'App 4 - Recyclables'!AB61</f>
        <v>1195.77</v>
      </c>
      <c r="AG60" s="127">
        <f>'App 4 - Recyclables'!W61+'App 4 - Recyclables'!AC61</f>
        <v>1195.77</v>
      </c>
      <c r="AH60" s="127">
        <f>'App 4 - Recyclables'!X61+'App 4 - Recyclables'!AD61</f>
        <v>0</v>
      </c>
      <c r="AI60" s="127">
        <f>'App 5 - Organics'!V60+'App 5 - Organics'!AD60</f>
        <v>1415.42</v>
      </c>
      <c r="AJ60" s="127">
        <f>'App 5 - Organics'!W60+'App 5 - Organics'!AE60</f>
        <v>1415.42</v>
      </c>
      <c r="AK60" s="127">
        <f>'App 5 - Organics'!X60+'App 5 - Organics'!AF60</f>
        <v>0</v>
      </c>
      <c r="AL60" s="128">
        <f>'App 6 - Residual Waste'!AC60+'App 6 - Residual Waste'!AI60</f>
        <v>3222.36</v>
      </c>
      <c r="AM60" s="128">
        <f>'App 6 - Residual Waste'!AD60+'App 6 - Residual Waste'!AJ60</f>
        <v>226.56</v>
      </c>
      <c r="AN60" s="128">
        <f>'App 6 - Residual Waste'!AE60+'App 6 - Residual Waste'!AK60</f>
        <v>2995.8</v>
      </c>
      <c r="AO60" s="121"/>
      <c r="AP60" s="128">
        <f t="shared" si="10"/>
        <v>5833.55</v>
      </c>
      <c r="AQ60" s="128">
        <f t="shared" si="11"/>
        <v>2837.75</v>
      </c>
      <c r="AR60" s="128">
        <f t="shared" si="12"/>
        <v>2995.8</v>
      </c>
      <c r="AS60" s="129">
        <f t="shared" si="13"/>
        <v>0.48645336030376013</v>
      </c>
    </row>
    <row r="61" spans="1:45" ht="15.75" x14ac:dyDescent="0.25">
      <c r="A61" s="8">
        <v>14170</v>
      </c>
      <c r="B61" s="8" t="s">
        <v>50</v>
      </c>
      <c r="C61" s="8" t="s">
        <v>17</v>
      </c>
      <c r="D61" s="29" t="s">
        <v>2</v>
      </c>
      <c r="E61" s="126"/>
      <c r="F61" s="127">
        <f>'App 4 - Recyclables'!V62</f>
        <v>13469.439999999999</v>
      </c>
      <c r="G61" s="127">
        <f>'App 4 - Recyclables'!W62</f>
        <v>13469.439999999999</v>
      </c>
      <c r="H61" s="127">
        <f>'App 4 - Recyclables'!X62</f>
        <v>0</v>
      </c>
      <c r="I61" s="127">
        <f>'App 5 - Organics'!V61</f>
        <v>6899</v>
      </c>
      <c r="J61" s="127">
        <f>'App 5 - Organics'!W61</f>
        <v>6899</v>
      </c>
      <c r="K61" s="127">
        <f>'App 5 - Organics'!X61</f>
        <v>0</v>
      </c>
      <c r="L61" s="128">
        <f>'App 6 - Residual Waste'!AC61</f>
        <v>37102</v>
      </c>
      <c r="M61" s="128">
        <f>'App 6 - Residual Waste'!AD61</f>
        <v>10018</v>
      </c>
      <c r="N61" s="128">
        <f>'App 6 - Residual Waste'!AE61</f>
        <v>27084</v>
      </c>
      <c r="O61" s="121"/>
      <c r="P61" s="128">
        <f t="shared" si="14"/>
        <v>57470.44</v>
      </c>
      <c r="Q61" s="128">
        <f t="shared" si="14"/>
        <v>30386.44</v>
      </c>
      <c r="R61" s="128">
        <f t="shared" si="14"/>
        <v>27084</v>
      </c>
      <c r="S61" s="129">
        <f t="shared" si="1"/>
        <v>0.52873164012664597</v>
      </c>
      <c r="U61" s="130">
        <f>(P61*1000)/'App 1 - Services'!F61/52</f>
        <v>5.8685823402669275</v>
      </c>
      <c r="V61" s="130">
        <f>(P61*1000)/'App 1 - Services'!G61/52</f>
        <v>12.429298229071057</v>
      </c>
      <c r="X61" s="131">
        <f t="shared" si="2"/>
        <v>0.52873164012664597</v>
      </c>
      <c r="Y61" s="132">
        <f t="shared" si="3"/>
        <v>13469.439999999999</v>
      </c>
      <c r="Z61" s="133">
        <f t="shared" si="4"/>
        <v>0.23437161782648608</v>
      </c>
      <c r="AA61" s="132">
        <f t="shared" si="5"/>
        <v>6899</v>
      </c>
      <c r="AB61" s="133">
        <f t="shared" si="6"/>
        <v>0.12004432191575355</v>
      </c>
      <c r="AC61" s="132">
        <f t="shared" si="7"/>
        <v>37102</v>
      </c>
      <c r="AD61" s="133">
        <f t="shared" si="8"/>
        <v>0.64558406025776027</v>
      </c>
      <c r="AF61" s="127">
        <f>'App 4 - Recyclables'!V62+'App 4 - Recyclables'!AB62</f>
        <v>13469.439999999999</v>
      </c>
      <c r="AG61" s="127">
        <f>'App 4 - Recyclables'!W62+'App 4 - Recyclables'!AC62</f>
        <v>13469.439999999999</v>
      </c>
      <c r="AH61" s="127">
        <f>'App 4 - Recyclables'!X62+'App 4 - Recyclables'!AD62</f>
        <v>0</v>
      </c>
      <c r="AI61" s="127">
        <f>'App 5 - Organics'!V61+'App 5 - Organics'!AD61</f>
        <v>7197</v>
      </c>
      <c r="AJ61" s="127">
        <f>'App 5 - Organics'!W61+'App 5 - Organics'!AE61</f>
        <v>7197</v>
      </c>
      <c r="AK61" s="127">
        <f>'App 5 - Organics'!X61+'App 5 - Organics'!AF61</f>
        <v>0</v>
      </c>
      <c r="AL61" s="128">
        <f>'App 6 - Residual Waste'!AC61+'App 6 - Residual Waste'!AI61</f>
        <v>37102</v>
      </c>
      <c r="AM61" s="128">
        <f>'App 6 - Residual Waste'!AD61+'App 6 - Residual Waste'!AJ61</f>
        <v>10018</v>
      </c>
      <c r="AN61" s="128">
        <f>'App 6 - Residual Waste'!AE61+'App 6 - Residual Waste'!AK61</f>
        <v>27084</v>
      </c>
      <c r="AO61" s="121"/>
      <c r="AP61" s="128">
        <f t="shared" si="10"/>
        <v>57768.44</v>
      </c>
      <c r="AQ61" s="128">
        <f t="shared" si="11"/>
        <v>30684.44</v>
      </c>
      <c r="AR61" s="128">
        <f t="shared" si="12"/>
        <v>27084</v>
      </c>
      <c r="AS61" s="129">
        <f t="shared" si="13"/>
        <v>0.53116269021631879</v>
      </c>
    </row>
    <row r="62" spans="1:45" ht="15.75" x14ac:dyDescent="0.25">
      <c r="A62" s="8">
        <v>14220</v>
      </c>
      <c r="B62" s="8" t="s">
        <v>117</v>
      </c>
      <c r="C62" s="8" t="s">
        <v>16</v>
      </c>
      <c r="D62" s="29" t="s">
        <v>1</v>
      </c>
      <c r="E62" s="126"/>
      <c r="F62" s="127">
        <f>'App 4 - Recyclables'!V63</f>
        <v>2915.7400000000002</v>
      </c>
      <c r="G62" s="127">
        <f>'App 4 - Recyclables'!W63</f>
        <v>2617.7400000000002</v>
      </c>
      <c r="H62" s="127">
        <f>'App 4 - Recyclables'!X63</f>
        <v>298</v>
      </c>
      <c r="I62" s="127">
        <f>'App 5 - Organics'!V62</f>
        <v>1196</v>
      </c>
      <c r="J62" s="127">
        <f>'App 5 - Organics'!W62</f>
        <v>1196</v>
      </c>
      <c r="K62" s="127">
        <f>'App 5 - Organics'!X62</f>
        <v>0</v>
      </c>
      <c r="L62" s="128">
        <f>'App 6 - Residual Waste'!AC62</f>
        <v>6701.07</v>
      </c>
      <c r="M62" s="128">
        <f>'App 6 - Residual Waste'!AD62</f>
        <v>22.169999999999845</v>
      </c>
      <c r="N62" s="128">
        <f>'App 6 - Residual Waste'!AE62</f>
        <v>6678.9</v>
      </c>
      <c r="O62" s="121"/>
      <c r="P62" s="128">
        <f t="shared" si="14"/>
        <v>10812.81</v>
      </c>
      <c r="Q62" s="128">
        <f t="shared" si="14"/>
        <v>3835.91</v>
      </c>
      <c r="R62" s="128">
        <f t="shared" si="14"/>
        <v>6976.9</v>
      </c>
      <c r="S62" s="129">
        <f t="shared" si="1"/>
        <v>0.35475607173343471</v>
      </c>
      <c r="U62" s="130">
        <f>(P62*1000)/'App 1 - Services'!F62/52</f>
        <v>11.514405772531914</v>
      </c>
      <c r="V62" s="130">
        <f>(P62*1000)/'App 1 - Services'!G62/52</f>
        <v>23.342911298400743</v>
      </c>
      <c r="X62" s="131">
        <f t="shared" si="2"/>
        <v>0.35475607173343471</v>
      </c>
      <c r="Y62" s="132">
        <f t="shared" si="3"/>
        <v>2915.7400000000002</v>
      </c>
      <c r="Z62" s="133">
        <f t="shared" si="4"/>
        <v>0.26965608384869433</v>
      </c>
      <c r="AA62" s="132">
        <f t="shared" si="5"/>
        <v>1196</v>
      </c>
      <c r="AB62" s="133">
        <f t="shared" si="6"/>
        <v>0.11060954552979291</v>
      </c>
      <c r="AC62" s="132">
        <f t="shared" si="7"/>
        <v>6701.07</v>
      </c>
      <c r="AD62" s="133">
        <f t="shared" si="8"/>
        <v>0.61973437062151282</v>
      </c>
      <c r="AF62" s="127">
        <f>'App 4 - Recyclables'!V63+'App 4 - Recyclables'!AB63</f>
        <v>2915.7400000000002</v>
      </c>
      <c r="AG62" s="127">
        <f>'App 4 - Recyclables'!W63+'App 4 - Recyclables'!AC63</f>
        <v>2617.7400000000002</v>
      </c>
      <c r="AH62" s="127">
        <f>'App 4 - Recyclables'!X63+'App 4 - Recyclables'!AD63</f>
        <v>298</v>
      </c>
      <c r="AI62" s="127">
        <f>'App 5 - Organics'!V62+'App 5 - Organics'!AD62</f>
        <v>1562</v>
      </c>
      <c r="AJ62" s="127">
        <f>'App 5 - Organics'!W62+'App 5 - Organics'!AE62</f>
        <v>1562</v>
      </c>
      <c r="AK62" s="127">
        <f>'App 5 - Organics'!X62+'App 5 - Organics'!AF62</f>
        <v>0</v>
      </c>
      <c r="AL62" s="128">
        <f>'App 6 - Residual Waste'!AC62+'App 6 - Residual Waste'!AI62</f>
        <v>7301.2699999999995</v>
      </c>
      <c r="AM62" s="128">
        <f>'App 6 - Residual Waste'!AD62+'App 6 - Residual Waste'!AJ62</f>
        <v>22.369999999999891</v>
      </c>
      <c r="AN62" s="128">
        <f>'App 6 - Residual Waste'!AE62+'App 6 - Residual Waste'!AK62</f>
        <v>7278.9</v>
      </c>
      <c r="AO62" s="121"/>
      <c r="AP62" s="128">
        <f t="shared" si="10"/>
        <v>11779.009999999998</v>
      </c>
      <c r="AQ62" s="128">
        <f t="shared" si="11"/>
        <v>4202.1099999999997</v>
      </c>
      <c r="AR62" s="128">
        <f t="shared" si="12"/>
        <v>7576.9</v>
      </c>
      <c r="AS62" s="129">
        <f t="shared" si="13"/>
        <v>0.35674560086119295</v>
      </c>
    </row>
    <row r="63" spans="1:45" ht="15.75" x14ac:dyDescent="0.25">
      <c r="A63" s="8">
        <v>14300</v>
      </c>
      <c r="B63" s="8" t="s">
        <v>118</v>
      </c>
      <c r="C63" s="8" t="s">
        <v>21</v>
      </c>
      <c r="D63" s="29" t="s">
        <v>1</v>
      </c>
      <c r="E63" s="126"/>
      <c r="F63" s="127">
        <f>'App 4 - Recyclables'!V64</f>
        <v>434.53999999999996</v>
      </c>
      <c r="G63" s="127">
        <f>'App 4 - Recyclables'!W64</f>
        <v>434.53999999999996</v>
      </c>
      <c r="H63" s="127">
        <f>'App 4 - Recyclables'!X64</f>
        <v>0</v>
      </c>
      <c r="I63" s="127">
        <f>'App 5 - Organics'!V63</f>
        <v>775.93000000000006</v>
      </c>
      <c r="J63" s="127">
        <f>'App 5 - Organics'!W63</f>
        <v>775.93000000000006</v>
      </c>
      <c r="K63" s="127">
        <f>'App 5 - Organics'!X63</f>
        <v>0</v>
      </c>
      <c r="L63" s="128">
        <f>'App 6 - Residual Waste'!AC63</f>
        <v>1089.48</v>
      </c>
      <c r="M63" s="128">
        <f>'App 6 - Residual Waste'!AD63</f>
        <v>2.3300000000000125</v>
      </c>
      <c r="N63" s="128">
        <f>'App 6 - Residual Waste'!AE63</f>
        <v>1087.1500000000001</v>
      </c>
      <c r="O63" s="121"/>
      <c r="P63" s="128">
        <f t="shared" si="14"/>
        <v>2299.9499999999998</v>
      </c>
      <c r="Q63" s="128">
        <f t="shared" si="14"/>
        <v>1212.8</v>
      </c>
      <c r="R63" s="128">
        <f t="shared" si="14"/>
        <v>1087.1500000000001</v>
      </c>
      <c r="S63" s="129">
        <f t="shared" si="1"/>
        <v>0.5273158112132873</v>
      </c>
      <c r="U63" s="130">
        <f>(P63*1000)/'App 1 - Services'!F63/52</f>
        <v>6.7837128362435104</v>
      </c>
      <c r="V63" s="130">
        <f>(P63*1000)/'App 1 - Services'!G63/52</f>
        <v>14.226377514412253</v>
      </c>
      <c r="X63" s="131">
        <f t="shared" si="2"/>
        <v>0.5273158112132873</v>
      </c>
      <c r="Y63" s="132">
        <f t="shared" si="3"/>
        <v>434.53999999999996</v>
      </c>
      <c r="Z63" s="133">
        <f t="shared" si="4"/>
        <v>0.18893454205526208</v>
      </c>
      <c r="AA63" s="132">
        <f t="shared" si="5"/>
        <v>775.93000000000006</v>
      </c>
      <c r="AB63" s="133">
        <f t="shared" si="6"/>
        <v>0.33736820365660131</v>
      </c>
      <c r="AC63" s="132">
        <f t="shared" si="7"/>
        <v>1089.48</v>
      </c>
      <c r="AD63" s="133">
        <f t="shared" si="8"/>
        <v>0.47369725428813675</v>
      </c>
      <c r="AF63" s="127">
        <f>'App 4 - Recyclables'!V64+'App 4 - Recyclables'!AB64</f>
        <v>434.53999999999996</v>
      </c>
      <c r="AG63" s="127">
        <f>'App 4 - Recyclables'!W64+'App 4 - Recyclables'!AC64</f>
        <v>434.53999999999996</v>
      </c>
      <c r="AH63" s="127">
        <f>'App 4 - Recyclables'!X64+'App 4 - Recyclables'!AD64</f>
        <v>0</v>
      </c>
      <c r="AI63" s="127">
        <f>'App 5 - Organics'!V63+'App 5 - Organics'!AD63</f>
        <v>1149.0500000000002</v>
      </c>
      <c r="AJ63" s="127">
        <f>'App 5 - Organics'!W63+'App 5 - Organics'!AE63</f>
        <v>1149.0500000000002</v>
      </c>
      <c r="AK63" s="127">
        <f>'App 5 - Organics'!X63+'App 5 - Organics'!AF63</f>
        <v>0</v>
      </c>
      <c r="AL63" s="128">
        <f>'App 6 - Residual Waste'!AC63+'App 6 - Residual Waste'!AI63</f>
        <v>1106.69</v>
      </c>
      <c r="AM63" s="128">
        <f>'App 6 - Residual Waste'!AD63+'App 6 - Residual Waste'!AJ63</f>
        <v>2.3300000000000125</v>
      </c>
      <c r="AN63" s="128">
        <f>'App 6 - Residual Waste'!AE63+'App 6 - Residual Waste'!AK63</f>
        <v>1104.3600000000001</v>
      </c>
      <c r="AO63" s="121"/>
      <c r="AP63" s="128">
        <f t="shared" si="10"/>
        <v>2690.28</v>
      </c>
      <c r="AQ63" s="128">
        <f t="shared" si="11"/>
        <v>1585.92</v>
      </c>
      <c r="AR63" s="128">
        <f t="shared" si="12"/>
        <v>1104.3600000000001</v>
      </c>
      <c r="AS63" s="129">
        <f t="shared" si="13"/>
        <v>0.58949997769748874</v>
      </c>
    </row>
    <row r="64" spans="1:45" ht="15.75" x14ac:dyDescent="0.25">
      <c r="A64" s="8">
        <v>14350</v>
      </c>
      <c r="B64" s="8" t="s">
        <v>119</v>
      </c>
      <c r="C64" s="8" t="s">
        <v>39</v>
      </c>
      <c r="D64" s="29" t="s">
        <v>3</v>
      </c>
      <c r="E64" s="126"/>
      <c r="F64" s="127">
        <f>'App 4 - Recyclables'!V65</f>
        <v>11781.34</v>
      </c>
      <c r="G64" s="127">
        <f>'App 4 - Recyclables'!W65</f>
        <v>11781.34</v>
      </c>
      <c r="H64" s="127">
        <f>'App 4 - Recyclables'!X65</f>
        <v>0</v>
      </c>
      <c r="I64" s="127">
        <f>'App 5 - Organics'!V64</f>
        <v>6594</v>
      </c>
      <c r="J64" s="127">
        <f>'App 5 - Organics'!W64</f>
        <v>6594</v>
      </c>
      <c r="K64" s="127">
        <f>'App 5 - Organics'!X64</f>
        <v>0</v>
      </c>
      <c r="L64" s="128">
        <f>'App 6 - Residual Waste'!AC64</f>
        <v>9569</v>
      </c>
      <c r="M64" s="128">
        <f>'App 6 - Residual Waste'!AD64</f>
        <v>4211</v>
      </c>
      <c r="N64" s="128">
        <f>'App 6 - Residual Waste'!AE64</f>
        <v>5358</v>
      </c>
      <c r="O64" s="121"/>
      <c r="P64" s="128">
        <f t="shared" si="14"/>
        <v>27944.34</v>
      </c>
      <c r="Q64" s="128">
        <f t="shared" si="14"/>
        <v>22586.34</v>
      </c>
      <c r="R64" s="128">
        <f t="shared" si="14"/>
        <v>5358</v>
      </c>
      <c r="S64" s="129">
        <f t="shared" si="1"/>
        <v>0.80826170881115822</v>
      </c>
      <c r="U64" s="130">
        <f>(P64*1000)/'App 1 - Services'!F64/52</f>
        <v>17.085529324584424</v>
      </c>
      <c r="V64" s="130">
        <f>(P64*1000)/'App 1 - Services'!G64/52</f>
        <v>33.205088596524583</v>
      </c>
      <c r="X64" s="131">
        <f t="shared" si="2"/>
        <v>0.80826170881115822</v>
      </c>
      <c r="Y64" s="132">
        <f t="shared" si="3"/>
        <v>11781.34</v>
      </c>
      <c r="Z64" s="133">
        <f t="shared" si="4"/>
        <v>0.42160022387360019</v>
      </c>
      <c r="AA64" s="132">
        <f t="shared" si="5"/>
        <v>6594</v>
      </c>
      <c r="AB64" s="133">
        <f t="shared" si="6"/>
        <v>0.23596907280687252</v>
      </c>
      <c r="AC64" s="132">
        <f t="shared" si="7"/>
        <v>9569</v>
      </c>
      <c r="AD64" s="133">
        <f t="shared" si="8"/>
        <v>0.3424307033195273</v>
      </c>
      <c r="AF64" s="127">
        <f>'App 4 - Recyclables'!V65+'App 4 - Recyclables'!AB65</f>
        <v>12679.34</v>
      </c>
      <c r="AG64" s="127">
        <f>'App 4 - Recyclables'!W65+'App 4 - Recyclables'!AC65</f>
        <v>12679.34</v>
      </c>
      <c r="AH64" s="127">
        <f>'App 4 - Recyclables'!X65+'App 4 - Recyclables'!AD65</f>
        <v>0</v>
      </c>
      <c r="AI64" s="127">
        <f>'App 5 - Organics'!V64+'App 5 - Organics'!AD64</f>
        <v>6841</v>
      </c>
      <c r="AJ64" s="127">
        <f>'App 5 - Organics'!W64+'App 5 - Organics'!AE64</f>
        <v>6841</v>
      </c>
      <c r="AK64" s="127">
        <f>'App 5 - Organics'!X64+'App 5 - Organics'!AF64</f>
        <v>0</v>
      </c>
      <c r="AL64" s="128">
        <f>'App 6 - Residual Waste'!AC64+'App 6 - Residual Waste'!AI64</f>
        <v>10895</v>
      </c>
      <c r="AM64" s="128">
        <f>'App 6 - Residual Waste'!AD64+'App 6 - Residual Waste'!AJ64</f>
        <v>4211</v>
      </c>
      <c r="AN64" s="128">
        <f>'App 6 - Residual Waste'!AE64+'App 6 - Residual Waste'!AK64</f>
        <v>6684</v>
      </c>
      <c r="AO64" s="121"/>
      <c r="AP64" s="128">
        <f t="shared" si="10"/>
        <v>30415.34</v>
      </c>
      <c r="AQ64" s="128">
        <f t="shared" si="11"/>
        <v>23731.34</v>
      </c>
      <c r="AR64" s="128">
        <f t="shared" si="12"/>
        <v>6684</v>
      </c>
      <c r="AS64" s="129">
        <f t="shared" si="13"/>
        <v>0.78024246975374922</v>
      </c>
    </row>
    <row r="65" spans="1:45" ht="15.75" x14ac:dyDescent="0.25">
      <c r="A65" s="8">
        <v>14400</v>
      </c>
      <c r="B65" s="8" t="s">
        <v>120</v>
      </c>
      <c r="C65" s="8" t="s">
        <v>37</v>
      </c>
      <c r="D65" s="29" t="s">
        <v>2</v>
      </c>
      <c r="E65" s="126"/>
      <c r="F65" s="127">
        <f>'App 4 - Recyclables'!V66</f>
        <v>2551.71</v>
      </c>
      <c r="G65" s="127">
        <f>'App 4 - Recyclables'!W66</f>
        <v>2551.71</v>
      </c>
      <c r="H65" s="127">
        <f>'App 4 - Recyclables'!X66</f>
        <v>0</v>
      </c>
      <c r="I65" s="127">
        <f>'App 5 - Organics'!V65</f>
        <v>5627.0300000000007</v>
      </c>
      <c r="J65" s="127">
        <f>'App 5 - Organics'!W65</f>
        <v>5627.0300000000007</v>
      </c>
      <c r="K65" s="127">
        <f>'App 5 - Organics'!X65</f>
        <v>0</v>
      </c>
      <c r="L65" s="128">
        <f>'App 6 - Residual Waste'!AC65</f>
        <v>2919.8100000000004</v>
      </c>
      <c r="M65" s="128">
        <f>'App 6 - Residual Waste'!AD65</f>
        <v>0</v>
      </c>
      <c r="N65" s="128">
        <f>'App 6 - Residual Waste'!AE65</f>
        <v>2919.8100000000004</v>
      </c>
      <c r="O65" s="121"/>
      <c r="P65" s="128">
        <f t="shared" si="14"/>
        <v>11098.550000000001</v>
      </c>
      <c r="Q65" s="128">
        <f t="shared" si="14"/>
        <v>8178.7400000000007</v>
      </c>
      <c r="R65" s="128">
        <f t="shared" si="14"/>
        <v>2919.8100000000004</v>
      </c>
      <c r="S65" s="129">
        <f t="shared" si="1"/>
        <v>0.73691968770695271</v>
      </c>
      <c r="U65" s="130">
        <f>(P65*1000)/'App 1 - Services'!F65/52</f>
        <v>9.2789172179007853</v>
      </c>
      <c r="V65" s="130">
        <f>(P65*1000)/'App 1 - Services'!G65/52</f>
        <v>19.82478672173081</v>
      </c>
      <c r="X65" s="131">
        <f t="shared" si="2"/>
        <v>0.73691968770695271</v>
      </c>
      <c r="Y65" s="132">
        <f t="shared" si="3"/>
        <v>2551.71</v>
      </c>
      <c r="Z65" s="133">
        <f t="shared" si="4"/>
        <v>0.22991381757076373</v>
      </c>
      <c r="AA65" s="132">
        <f t="shared" si="5"/>
        <v>5627.0300000000007</v>
      </c>
      <c r="AB65" s="133">
        <f t="shared" si="6"/>
        <v>0.50700587013618892</v>
      </c>
      <c r="AC65" s="132">
        <f t="shared" si="7"/>
        <v>2919.8100000000004</v>
      </c>
      <c r="AD65" s="133">
        <f t="shared" si="8"/>
        <v>0.26308031229304729</v>
      </c>
      <c r="AF65" s="127">
        <f>'App 4 - Recyclables'!V66+'App 4 - Recyclables'!AB66</f>
        <v>2551.71</v>
      </c>
      <c r="AG65" s="127">
        <f>'App 4 - Recyclables'!W66+'App 4 - Recyclables'!AC66</f>
        <v>2551.71</v>
      </c>
      <c r="AH65" s="127">
        <f>'App 4 - Recyclables'!X66+'App 4 - Recyclables'!AD66</f>
        <v>0</v>
      </c>
      <c r="AI65" s="127">
        <f>'App 5 - Organics'!V65+'App 5 - Organics'!AD65</f>
        <v>6031.0300000000007</v>
      </c>
      <c r="AJ65" s="127">
        <f>'App 5 - Organics'!W65+'App 5 - Organics'!AE65</f>
        <v>6031.0300000000007</v>
      </c>
      <c r="AK65" s="127">
        <f>'App 5 - Organics'!X65+'App 5 - Organics'!AF65</f>
        <v>0</v>
      </c>
      <c r="AL65" s="128">
        <f>'App 6 - Residual Waste'!AC65+'App 6 - Residual Waste'!AI65</f>
        <v>2919.8100000000004</v>
      </c>
      <c r="AM65" s="128">
        <f>'App 6 - Residual Waste'!AD65+'App 6 - Residual Waste'!AJ65</f>
        <v>0</v>
      </c>
      <c r="AN65" s="128">
        <f>'App 6 - Residual Waste'!AE65+'App 6 - Residual Waste'!AK65</f>
        <v>2919.8100000000004</v>
      </c>
      <c r="AO65" s="121"/>
      <c r="AP65" s="128">
        <f t="shared" si="10"/>
        <v>11502.550000000003</v>
      </c>
      <c r="AQ65" s="128">
        <f t="shared" si="11"/>
        <v>8582.7400000000016</v>
      </c>
      <c r="AR65" s="128">
        <f t="shared" si="12"/>
        <v>2919.8100000000004</v>
      </c>
      <c r="AS65" s="129">
        <f t="shared" si="13"/>
        <v>0.74615976457394229</v>
      </c>
    </row>
    <row r="66" spans="1:45" ht="15.75" x14ac:dyDescent="0.25">
      <c r="A66" s="8">
        <v>14500</v>
      </c>
      <c r="B66" s="8" t="s">
        <v>51</v>
      </c>
      <c r="C66" s="8" t="s">
        <v>24</v>
      </c>
      <c r="D66" s="29" t="s">
        <v>2</v>
      </c>
      <c r="E66" s="126"/>
      <c r="F66" s="127">
        <f>'App 4 - Recyclables'!V67</f>
        <v>10151.35</v>
      </c>
      <c r="G66" s="127">
        <f>'App 4 - Recyclables'!W67</f>
        <v>10151.35</v>
      </c>
      <c r="H66" s="127">
        <f>'App 4 - Recyclables'!X67</f>
        <v>0</v>
      </c>
      <c r="I66" s="127">
        <f>'App 5 - Organics'!V66</f>
        <v>23937.48</v>
      </c>
      <c r="J66" s="127">
        <f>'App 5 - Organics'!W66</f>
        <v>23937.48</v>
      </c>
      <c r="K66" s="127">
        <f>'App 5 - Organics'!X66</f>
        <v>0</v>
      </c>
      <c r="L66" s="128">
        <f>'App 6 - Residual Waste'!AC66</f>
        <v>25891.329999999998</v>
      </c>
      <c r="M66" s="128">
        <f>'App 6 - Residual Waste'!AD66</f>
        <v>3480.01</v>
      </c>
      <c r="N66" s="128">
        <f>'App 6 - Residual Waste'!AE66</f>
        <v>22411.32</v>
      </c>
      <c r="O66" s="121"/>
      <c r="P66" s="128">
        <f t="shared" si="14"/>
        <v>59980.160000000003</v>
      </c>
      <c r="Q66" s="128">
        <f t="shared" si="14"/>
        <v>37568.840000000004</v>
      </c>
      <c r="R66" s="128">
        <f t="shared" si="14"/>
        <v>22411.32</v>
      </c>
      <c r="S66" s="129">
        <f t="shared" si="1"/>
        <v>0.62635444787076267</v>
      </c>
      <c r="U66" s="130">
        <f>(P66*1000)/'App 1 - Services'!F66/52</f>
        <v>9.0836144632322071</v>
      </c>
      <c r="V66" s="130">
        <f>(P66*1000)/'App 1 - Services'!G66/52</f>
        <v>23.893622276221965</v>
      </c>
      <c r="X66" s="131">
        <f t="shared" si="2"/>
        <v>0.62635444787076267</v>
      </c>
      <c r="Y66" s="132">
        <f t="shared" si="3"/>
        <v>10151.35</v>
      </c>
      <c r="Z66" s="133">
        <f t="shared" si="4"/>
        <v>0.16924513038978223</v>
      </c>
      <c r="AA66" s="132">
        <f t="shared" si="5"/>
        <v>23937.48</v>
      </c>
      <c r="AB66" s="133">
        <f t="shared" si="6"/>
        <v>0.39908996574867422</v>
      </c>
      <c r="AC66" s="132">
        <f t="shared" si="7"/>
        <v>25891.329999999998</v>
      </c>
      <c r="AD66" s="133">
        <f t="shared" si="8"/>
        <v>0.43166490386154349</v>
      </c>
      <c r="AF66" s="127">
        <f>'App 4 - Recyclables'!V67+'App 4 - Recyclables'!AB67</f>
        <v>10319.58</v>
      </c>
      <c r="AG66" s="127">
        <f>'App 4 - Recyclables'!W67+'App 4 - Recyclables'!AC67</f>
        <v>10319.58</v>
      </c>
      <c r="AH66" s="127">
        <f>'App 4 - Recyclables'!X67+'App 4 - Recyclables'!AD67</f>
        <v>0</v>
      </c>
      <c r="AI66" s="127">
        <f>'App 5 - Organics'!V66+'App 5 - Organics'!AD66</f>
        <v>26531.559999999998</v>
      </c>
      <c r="AJ66" s="127">
        <f>'App 5 - Organics'!W66+'App 5 - Organics'!AE66</f>
        <v>26531.559999999998</v>
      </c>
      <c r="AK66" s="127">
        <f>'App 5 - Organics'!X66+'App 5 - Organics'!AF66</f>
        <v>0</v>
      </c>
      <c r="AL66" s="128">
        <f>'App 6 - Residual Waste'!AC66+'App 6 - Residual Waste'!AI66</f>
        <v>26107.89</v>
      </c>
      <c r="AM66" s="128">
        <f>'App 6 - Residual Waste'!AD66+'App 6 - Residual Waste'!AJ66</f>
        <v>3480.01</v>
      </c>
      <c r="AN66" s="128">
        <f>'App 6 - Residual Waste'!AE66+'App 6 - Residual Waste'!AK66</f>
        <v>22627.88</v>
      </c>
      <c r="AO66" s="121"/>
      <c r="AP66" s="128">
        <f t="shared" si="10"/>
        <v>62959.03</v>
      </c>
      <c r="AQ66" s="128">
        <f t="shared" si="11"/>
        <v>40331.15</v>
      </c>
      <c r="AR66" s="128">
        <f t="shared" si="12"/>
        <v>22627.88</v>
      </c>
      <c r="AS66" s="129">
        <f t="shared" si="13"/>
        <v>0.64059357331267652</v>
      </c>
    </row>
    <row r="67" spans="1:45" ht="15.75" x14ac:dyDescent="0.25">
      <c r="A67" s="8">
        <v>14550</v>
      </c>
      <c r="B67" s="8" t="s">
        <v>121</v>
      </c>
      <c r="C67" s="8" t="s">
        <v>19</v>
      </c>
      <c r="D67" s="29" t="s">
        <v>3</v>
      </c>
      <c r="E67" s="126"/>
      <c r="F67" s="127">
        <f>'App 4 - Recyclables'!V68</f>
        <v>1310.68</v>
      </c>
      <c r="G67" s="127">
        <f>'App 4 - Recyclables'!W68</f>
        <v>1310.68</v>
      </c>
      <c r="H67" s="127">
        <f>'App 4 - Recyclables'!X68</f>
        <v>0</v>
      </c>
      <c r="I67" s="127">
        <f>'App 5 - Organics'!V67</f>
        <v>339.31</v>
      </c>
      <c r="J67" s="127">
        <f>'App 5 - Organics'!W67</f>
        <v>339.31</v>
      </c>
      <c r="K67" s="127">
        <f>'App 5 - Organics'!X67</f>
        <v>0</v>
      </c>
      <c r="L67" s="128">
        <f>'App 6 - Residual Waste'!AC67</f>
        <v>2824.74</v>
      </c>
      <c r="M67" s="128">
        <f>'App 6 - Residual Waste'!AD67</f>
        <v>8.0599999999999454</v>
      </c>
      <c r="N67" s="128">
        <f>'App 6 - Residual Waste'!AE67</f>
        <v>2816.6800000000003</v>
      </c>
      <c r="O67" s="121"/>
      <c r="P67" s="128">
        <f t="shared" si="14"/>
        <v>4474.7299999999996</v>
      </c>
      <c r="Q67" s="128">
        <f t="shared" si="14"/>
        <v>1658.05</v>
      </c>
      <c r="R67" s="128">
        <f t="shared" si="14"/>
        <v>2816.6800000000003</v>
      </c>
      <c r="S67" s="129">
        <f t="shared" si="1"/>
        <v>0.37053632286193805</v>
      </c>
      <c r="U67" s="130">
        <f>(P67*1000)/'App 1 - Services'!F67/52</f>
        <v>9.0887727080692855</v>
      </c>
      <c r="V67" s="130">
        <f>(P67*1000)/'App 1 - Services'!G67/52</f>
        <v>14.120856580242862</v>
      </c>
      <c r="X67" s="131">
        <f t="shared" si="2"/>
        <v>0.37053632286193805</v>
      </c>
      <c r="Y67" s="132">
        <f t="shared" si="3"/>
        <v>1310.68</v>
      </c>
      <c r="Z67" s="133">
        <f t="shared" si="4"/>
        <v>0.29290705807948192</v>
      </c>
      <c r="AA67" s="132">
        <f t="shared" si="5"/>
        <v>339.31</v>
      </c>
      <c r="AB67" s="133">
        <f t="shared" si="6"/>
        <v>7.5828038786697749E-2</v>
      </c>
      <c r="AC67" s="132">
        <f t="shared" si="7"/>
        <v>2824.74</v>
      </c>
      <c r="AD67" s="133">
        <f t="shared" si="8"/>
        <v>0.63126490313382033</v>
      </c>
      <c r="AF67" s="127">
        <f>'App 4 - Recyclables'!V68+'App 4 - Recyclables'!AB68</f>
        <v>1310.68</v>
      </c>
      <c r="AG67" s="127">
        <f>'App 4 - Recyclables'!W68+'App 4 - Recyclables'!AC68</f>
        <v>1310.68</v>
      </c>
      <c r="AH67" s="127">
        <f>'App 4 - Recyclables'!X68+'App 4 - Recyclables'!AD68</f>
        <v>0</v>
      </c>
      <c r="AI67" s="127">
        <f>'App 5 - Organics'!V67+'App 5 - Organics'!AD67</f>
        <v>339.31</v>
      </c>
      <c r="AJ67" s="127">
        <f>'App 5 - Organics'!W67+'App 5 - Organics'!AE67</f>
        <v>339.31</v>
      </c>
      <c r="AK67" s="127">
        <f>'App 5 - Organics'!X67+'App 5 - Organics'!AF67</f>
        <v>0</v>
      </c>
      <c r="AL67" s="128">
        <f>'App 6 - Residual Waste'!AC67+'App 6 - Residual Waste'!AI67</f>
        <v>2824.74</v>
      </c>
      <c r="AM67" s="128">
        <f>'App 6 - Residual Waste'!AD67+'App 6 - Residual Waste'!AJ67</f>
        <v>8.0599999999999454</v>
      </c>
      <c r="AN67" s="128">
        <f>'App 6 - Residual Waste'!AE67+'App 6 - Residual Waste'!AK67</f>
        <v>2816.6800000000003</v>
      </c>
      <c r="AO67" s="121"/>
      <c r="AP67" s="128">
        <f t="shared" si="10"/>
        <v>4474.7299999999996</v>
      </c>
      <c r="AQ67" s="128">
        <f t="shared" si="11"/>
        <v>1658.05</v>
      </c>
      <c r="AR67" s="128">
        <f t="shared" si="12"/>
        <v>2816.6800000000003</v>
      </c>
      <c r="AS67" s="129">
        <f t="shared" si="13"/>
        <v>0.37053632286193805</v>
      </c>
    </row>
    <row r="68" spans="1:45" ht="15.75" x14ac:dyDescent="0.25">
      <c r="A68" s="8">
        <v>14600</v>
      </c>
      <c r="B68" s="8" t="s">
        <v>122</v>
      </c>
      <c r="C68" s="8" t="s">
        <v>38</v>
      </c>
      <c r="D68" s="29" t="s">
        <v>1</v>
      </c>
      <c r="E68" s="126"/>
      <c r="F68" s="127">
        <f>'App 4 - Recyclables'!V69</f>
        <v>151.51</v>
      </c>
      <c r="G68" s="127">
        <f>'App 4 - Recyclables'!W69</f>
        <v>151.51</v>
      </c>
      <c r="H68" s="127">
        <f>'App 4 - Recyclables'!X69</f>
        <v>0</v>
      </c>
      <c r="I68" s="127">
        <f>'App 5 - Organics'!V68</f>
        <v>150</v>
      </c>
      <c r="J68" s="127">
        <f>'App 5 - Organics'!W68</f>
        <v>150</v>
      </c>
      <c r="K68" s="127">
        <f>'App 5 - Organics'!X68</f>
        <v>0</v>
      </c>
      <c r="L68" s="128">
        <f>'App 6 - Residual Waste'!AC68</f>
        <v>840</v>
      </c>
      <c r="M68" s="128">
        <f>'App 6 - Residual Waste'!AD68</f>
        <v>0</v>
      </c>
      <c r="N68" s="128">
        <f>'App 6 - Residual Waste'!AE68</f>
        <v>840</v>
      </c>
      <c r="O68" s="121"/>
      <c r="P68" s="128">
        <f t="shared" si="14"/>
        <v>1141.51</v>
      </c>
      <c r="Q68" s="128">
        <f t="shared" si="14"/>
        <v>301.51</v>
      </c>
      <c r="R68" s="128">
        <f t="shared" si="14"/>
        <v>840</v>
      </c>
      <c r="S68" s="129">
        <f t="shared" si="1"/>
        <v>0.2641325962978861</v>
      </c>
      <c r="U68" s="130">
        <f>(P68*1000)/'App 1 - Services'!F68/52</f>
        <v>3.5711917007671037</v>
      </c>
      <c r="V68" s="130">
        <f>(P68*1000)/'App 1 - Services'!G68/52</f>
        <v>4.0652065527065524</v>
      </c>
      <c r="X68" s="131">
        <f t="shared" si="2"/>
        <v>0.2641325962978861</v>
      </c>
      <c r="Y68" s="132">
        <f t="shared" si="3"/>
        <v>151.51</v>
      </c>
      <c r="Z68" s="133">
        <f t="shared" si="4"/>
        <v>0.13272770277965151</v>
      </c>
      <c r="AA68" s="132">
        <f t="shared" si="5"/>
        <v>150</v>
      </c>
      <c r="AB68" s="133">
        <f t="shared" si="6"/>
        <v>0.13140489351823462</v>
      </c>
      <c r="AC68" s="132">
        <f t="shared" si="7"/>
        <v>840</v>
      </c>
      <c r="AD68" s="133">
        <f t="shared" si="8"/>
        <v>0.7358674037021139</v>
      </c>
      <c r="AF68" s="127">
        <f>'App 4 - Recyclables'!V69+'App 4 - Recyclables'!AB69</f>
        <v>151.51</v>
      </c>
      <c r="AG68" s="127">
        <f>'App 4 - Recyclables'!W69+'App 4 - Recyclables'!AC69</f>
        <v>151.51</v>
      </c>
      <c r="AH68" s="127">
        <f>'App 4 - Recyclables'!X69+'App 4 - Recyclables'!AD69</f>
        <v>0</v>
      </c>
      <c r="AI68" s="127">
        <f>'App 5 - Organics'!V68+'App 5 - Organics'!AD68</f>
        <v>150</v>
      </c>
      <c r="AJ68" s="127">
        <f>'App 5 - Organics'!W68+'App 5 - Organics'!AE68</f>
        <v>150</v>
      </c>
      <c r="AK68" s="127">
        <f>'App 5 - Organics'!X68+'App 5 - Organics'!AF68</f>
        <v>0</v>
      </c>
      <c r="AL68" s="128">
        <f>'App 6 - Residual Waste'!AC68+'App 6 - Residual Waste'!AI68</f>
        <v>840</v>
      </c>
      <c r="AM68" s="128">
        <f>'App 6 - Residual Waste'!AD68+'App 6 - Residual Waste'!AJ68</f>
        <v>0</v>
      </c>
      <c r="AN68" s="128">
        <f>'App 6 - Residual Waste'!AE68+'App 6 - Residual Waste'!AK68</f>
        <v>840</v>
      </c>
      <c r="AO68" s="121"/>
      <c r="AP68" s="128">
        <f t="shared" si="10"/>
        <v>1141.51</v>
      </c>
      <c r="AQ68" s="128">
        <f t="shared" si="11"/>
        <v>301.51</v>
      </c>
      <c r="AR68" s="128">
        <f t="shared" si="12"/>
        <v>840</v>
      </c>
      <c r="AS68" s="129">
        <f t="shared" si="13"/>
        <v>0.2641325962978861</v>
      </c>
    </row>
    <row r="69" spans="1:45" ht="15.75" x14ac:dyDescent="0.25">
      <c r="A69" s="8">
        <v>14650</v>
      </c>
      <c r="B69" s="8" t="s">
        <v>123</v>
      </c>
      <c r="C69" s="8" t="s">
        <v>23</v>
      </c>
      <c r="D69" s="29" t="s">
        <v>2</v>
      </c>
      <c r="E69" s="126"/>
      <c r="F69" s="127">
        <f>'App 4 - Recyclables'!V70</f>
        <v>22567.64</v>
      </c>
      <c r="G69" s="127">
        <f>'App 4 - Recyclables'!W70</f>
        <v>21162.870000000003</v>
      </c>
      <c r="H69" s="127">
        <f>'App 4 - Recyclables'!X70</f>
        <v>1404.77</v>
      </c>
      <c r="I69" s="127">
        <f>'App 5 - Organics'!V69</f>
        <v>39534.75</v>
      </c>
      <c r="J69" s="127">
        <f>'App 5 - Organics'!W69</f>
        <v>39425.75</v>
      </c>
      <c r="K69" s="127">
        <f>'App 5 - Organics'!X69</f>
        <v>109</v>
      </c>
      <c r="L69" s="128">
        <f>'App 6 - Residual Waste'!AC69</f>
        <v>49608.439999999995</v>
      </c>
      <c r="M69" s="128">
        <f>'App 6 - Residual Waste'!AD69</f>
        <v>5</v>
      </c>
      <c r="N69" s="128">
        <f>'App 6 - Residual Waste'!AE69</f>
        <v>49603.439999999995</v>
      </c>
      <c r="O69" s="121"/>
      <c r="P69" s="128">
        <f t="shared" ref="P69:R100" si="15">F69+I69+L69</f>
        <v>111710.82999999999</v>
      </c>
      <c r="Q69" s="128">
        <f t="shared" si="15"/>
        <v>60593.62</v>
      </c>
      <c r="R69" s="128">
        <f t="shared" si="15"/>
        <v>51117.209999999992</v>
      </c>
      <c r="S69" s="129">
        <f t="shared" ref="S69:S132" si="16">Q69/P69</f>
        <v>0.54241491178608203</v>
      </c>
      <c r="U69" s="130">
        <f>(P69*1000)/'App 1 - Services'!F69/52</f>
        <v>9.7983808013158189</v>
      </c>
      <c r="V69" s="130">
        <f>(P69*1000)/'App 1 - Services'!G69/52</f>
        <v>24.239897911534896</v>
      </c>
      <c r="X69" s="131">
        <f t="shared" ref="X69:X132" si="17">S69</f>
        <v>0.54241491178608203</v>
      </c>
      <c r="Y69" s="132">
        <f t="shared" ref="Y69:Y132" si="18">F69</f>
        <v>22567.64</v>
      </c>
      <c r="Z69" s="133">
        <f t="shared" ref="Z69:Z132" si="19">Y69/P69</f>
        <v>0.20201837189823046</v>
      </c>
      <c r="AA69" s="132">
        <f t="shared" ref="AA69:AA132" si="20">I69</f>
        <v>39534.75</v>
      </c>
      <c r="AB69" s="133">
        <f t="shared" ref="AB69:AB132" si="21">AA69/P69</f>
        <v>0.35390257148747356</v>
      </c>
      <c r="AC69" s="132">
        <f t="shared" ref="AC69:AC132" si="22">L69</f>
        <v>49608.439999999995</v>
      </c>
      <c r="AD69" s="133">
        <f t="shared" ref="AD69:AD132" si="23">AC69/P69</f>
        <v>0.44407905661429603</v>
      </c>
      <c r="AF69" s="127">
        <f>'App 4 - Recyclables'!V70+'App 4 - Recyclables'!AB70</f>
        <v>22567.64</v>
      </c>
      <c r="AG69" s="127">
        <f>'App 4 - Recyclables'!W70+'App 4 - Recyclables'!AC70</f>
        <v>21162.870000000003</v>
      </c>
      <c r="AH69" s="127">
        <f>'App 4 - Recyclables'!X70+'App 4 - Recyclables'!AD70</f>
        <v>1404.77</v>
      </c>
      <c r="AI69" s="127">
        <f>'App 5 - Organics'!V69+'App 5 - Organics'!AD69</f>
        <v>40077.75</v>
      </c>
      <c r="AJ69" s="127">
        <f>'App 5 - Organics'!W69+'App 5 - Organics'!AE69</f>
        <v>39968.75</v>
      </c>
      <c r="AK69" s="127">
        <f>'App 5 - Organics'!X69+'App 5 - Organics'!AF69</f>
        <v>109</v>
      </c>
      <c r="AL69" s="128">
        <f>'App 6 - Residual Waste'!AC69+'App 6 - Residual Waste'!AI69</f>
        <v>50157.439999999995</v>
      </c>
      <c r="AM69" s="128">
        <f>'App 6 - Residual Waste'!AD69+'App 6 - Residual Waste'!AJ69</f>
        <v>5</v>
      </c>
      <c r="AN69" s="128">
        <f>'App 6 - Residual Waste'!AE69+'App 6 - Residual Waste'!AK69</f>
        <v>50152.439999999995</v>
      </c>
      <c r="AO69" s="121"/>
      <c r="AP69" s="128">
        <f t="shared" si="10"/>
        <v>112802.82999999999</v>
      </c>
      <c r="AQ69" s="128">
        <f t="shared" si="11"/>
        <v>61136.62</v>
      </c>
      <c r="AR69" s="128">
        <f t="shared" si="12"/>
        <v>51666.209999999992</v>
      </c>
      <c r="AS69" s="129">
        <f t="shared" si="13"/>
        <v>0.54197771456620381</v>
      </c>
    </row>
    <row r="70" spans="1:45" ht="15.75" x14ac:dyDescent="0.25">
      <c r="A70" s="8">
        <v>14700</v>
      </c>
      <c r="B70" s="8" t="s">
        <v>52</v>
      </c>
      <c r="C70" s="8" t="s">
        <v>24</v>
      </c>
      <c r="D70" s="29" t="s">
        <v>2</v>
      </c>
      <c r="E70" s="126"/>
      <c r="F70" s="127">
        <f>'App 4 - Recyclables'!V71</f>
        <v>3614.55</v>
      </c>
      <c r="G70" s="127">
        <f>'App 4 - Recyclables'!W71</f>
        <v>3614.55</v>
      </c>
      <c r="H70" s="127">
        <f>'App 4 - Recyclables'!X71</f>
        <v>0</v>
      </c>
      <c r="I70" s="127">
        <f>'App 5 - Organics'!V70</f>
        <v>3463.7</v>
      </c>
      <c r="J70" s="127">
        <f>'App 5 - Organics'!W70</f>
        <v>3463.7</v>
      </c>
      <c r="K70" s="127">
        <f>'App 5 - Organics'!X70</f>
        <v>0</v>
      </c>
      <c r="L70" s="128">
        <f>'App 6 - Residual Waste'!AC70</f>
        <v>8403.56</v>
      </c>
      <c r="M70" s="128">
        <f>'App 6 - Residual Waste'!AD70</f>
        <v>826.5</v>
      </c>
      <c r="N70" s="128">
        <f>'App 6 - Residual Waste'!AE70</f>
        <v>7577.06</v>
      </c>
      <c r="O70" s="121"/>
      <c r="P70" s="128">
        <f t="shared" si="15"/>
        <v>15481.81</v>
      </c>
      <c r="Q70" s="128">
        <f t="shared" si="15"/>
        <v>7904.75</v>
      </c>
      <c r="R70" s="128">
        <f t="shared" si="15"/>
        <v>7577.06</v>
      </c>
      <c r="S70" s="129">
        <f t="shared" si="16"/>
        <v>0.51058306490003436</v>
      </c>
      <c r="U70" s="130">
        <f>(P70*1000)/'App 1 - Services'!F70/52</f>
        <v>7.1656866683822802</v>
      </c>
      <c r="V70" s="130">
        <f>(P70*1000)/'App 1 - Services'!G70/52</f>
        <v>15.715339951681994</v>
      </c>
      <c r="X70" s="131">
        <f t="shared" si="17"/>
        <v>0.51058306490003436</v>
      </c>
      <c r="Y70" s="132">
        <f t="shared" si="18"/>
        <v>3614.55</v>
      </c>
      <c r="Z70" s="133">
        <f t="shared" si="19"/>
        <v>0.23347076343140757</v>
      </c>
      <c r="AA70" s="132">
        <f t="shared" si="20"/>
        <v>3463.7</v>
      </c>
      <c r="AB70" s="133">
        <f t="shared" si="21"/>
        <v>0.22372707067196923</v>
      </c>
      <c r="AC70" s="132">
        <f t="shared" si="22"/>
        <v>8403.56</v>
      </c>
      <c r="AD70" s="133">
        <f t="shared" si="23"/>
        <v>0.54280216589662322</v>
      </c>
      <c r="AF70" s="127">
        <f>'App 4 - Recyclables'!V71+'App 4 - Recyclables'!AB71</f>
        <v>3614.55</v>
      </c>
      <c r="AG70" s="127">
        <f>'App 4 - Recyclables'!W71+'App 4 - Recyclables'!AC71</f>
        <v>3614.55</v>
      </c>
      <c r="AH70" s="127">
        <f>'App 4 - Recyclables'!X71+'App 4 - Recyclables'!AD71</f>
        <v>0</v>
      </c>
      <c r="AI70" s="127">
        <f>'App 5 - Organics'!V70+'App 5 - Organics'!AD70</f>
        <v>3463.7</v>
      </c>
      <c r="AJ70" s="127">
        <f>'App 5 - Organics'!W70+'App 5 - Organics'!AE70</f>
        <v>3463.7</v>
      </c>
      <c r="AK70" s="127">
        <f>'App 5 - Organics'!X70+'App 5 - Organics'!AF70</f>
        <v>0</v>
      </c>
      <c r="AL70" s="128">
        <f>'App 6 - Residual Waste'!AC70+'App 6 - Residual Waste'!AI70</f>
        <v>9657.56</v>
      </c>
      <c r="AM70" s="128">
        <f>'App 6 - Residual Waste'!AD70+'App 6 - Residual Waste'!AJ70</f>
        <v>826.5</v>
      </c>
      <c r="AN70" s="128">
        <f>'App 6 - Residual Waste'!AE70+'App 6 - Residual Waste'!AK70</f>
        <v>8831.0600000000013</v>
      </c>
      <c r="AO70" s="121"/>
      <c r="AP70" s="128">
        <f t="shared" ref="AP70:AP132" si="24">AF70+AI70+AL70</f>
        <v>16735.809999999998</v>
      </c>
      <c r="AQ70" s="128">
        <f t="shared" ref="AQ70:AQ132" si="25">AG70+AJ70+AM70</f>
        <v>7904.75</v>
      </c>
      <c r="AR70" s="128">
        <f t="shared" ref="AR70:AR132" si="26">AH70+AK70+AN70</f>
        <v>8831.0600000000013</v>
      </c>
      <c r="AS70" s="129">
        <f t="shared" ref="AS70:AS132" si="27">AQ70/AP70</f>
        <v>0.47232551038760606</v>
      </c>
    </row>
    <row r="71" spans="1:45" ht="15.75" x14ac:dyDescent="0.25">
      <c r="A71" s="8">
        <v>14750</v>
      </c>
      <c r="B71" s="8" t="s">
        <v>124</v>
      </c>
      <c r="C71" s="8" t="s">
        <v>68</v>
      </c>
      <c r="D71" s="29" t="s">
        <v>1</v>
      </c>
      <c r="E71" s="126"/>
      <c r="F71" s="127">
        <f>'App 4 - Recyclables'!V72</f>
        <v>992.56</v>
      </c>
      <c r="G71" s="127">
        <f>'App 4 - Recyclables'!W72</f>
        <v>969.82999999999993</v>
      </c>
      <c r="H71" s="127">
        <f>'App 4 - Recyclables'!X72</f>
        <v>22.73</v>
      </c>
      <c r="I71" s="127">
        <f>'App 5 - Organics'!V71</f>
        <v>1150.03</v>
      </c>
      <c r="J71" s="127">
        <f>'App 5 - Organics'!W71</f>
        <v>1150.03</v>
      </c>
      <c r="K71" s="127">
        <f>'App 5 - Organics'!X71</f>
        <v>0</v>
      </c>
      <c r="L71" s="128">
        <f>'App 6 - Residual Waste'!AC71</f>
        <v>4365.41</v>
      </c>
      <c r="M71" s="128">
        <f>'App 6 - Residual Waste'!AD71</f>
        <v>0</v>
      </c>
      <c r="N71" s="128">
        <f>'App 6 - Residual Waste'!AE71</f>
        <v>4365.41</v>
      </c>
      <c r="O71" s="121"/>
      <c r="P71" s="128">
        <f t="shared" si="15"/>
        <v>6508</v>
      </c>
      <c r="Q71" s="128">
        <f t="shared" si="15"/>
        <v>2119.8599999999997</v>
      </c>
      <c r="R71" s="128">
        <f t="shared" si="15"/>
        <v>4388.1399999999994</v>
      </c>
      <c r="S71" s="129">
        <f t="shared" si="16"/>
        <v>0.32573140749846335</v>
      </c>
      <c r="U71" s="130">
        <f>(P71*1000)/'App 1 - Services'!F71/52</f>
        <v>10.948634953533912</v>
      </c>
      <c r="V71" s="130">
        <f>(P71*1000)/'App 1 - Services'!G71/52</f>
        <v>22.562438462925211</v>
      </c>
      <c r="X71" s="131">
        <f t="shared" si="17"/>
        <v>0.32573140749846335</v>
      </c>
      <c r="Y71" s="132">
        <f t="shared" si="18"/>
        <v>992.56</v>
      </c>
      <c r="Z71" s="133">
        <f t="shared" si="19"/>
        <v>0.1525138291333743</v>
      </c>
      <c r="AA71" s="132">
        <f t="shared" si="20"/>
        <v>1150.03</v>
      </c>
      <c r="AB71" s="133">
        <f t="shared" si="21"/>
        <v>0.1767102028272895</v>
      </c>
      <c r="AC71" s="132">
        <f t="shared" si="22"/>
        <v>4365.41</v>
      </c>
      <c r="AD71" s="133">
        <f t="shared" si="23"/>
        <v>0.67077596803933615</v>
      </c>
      <c r="AF71" s="127">
        <f>'App 4 - Recyclables'!V72+'App 4 - Recyclables'!AB72</f>
        <v>992.56</v>
      </c>
      <c r="AG71" s="127">
        <f>'App 4 - Recyclables'!W72+'App 4 - Recyclables'!AC72</f>
        <v>969.82999999999993</v>
      </c>
      <c r="AH71" s="127">
        <f>'App 4 - Recyclables'!X72+'App 4 - Recyclables'!AD72</f>
        <v>22.73</v>
      </c>
      <c r="AI71" s="127">
        <f>'App 5 - Organics'!V71+'App 5 - Organics'!AD71</f>
        <v>1480.63</v>
      </c>
      <c r="AJ71" s="127">
        <f>'App 5 - Organics'!W71+'App 5 - Organics'!AE71</f>
        <v>1480.63</v>
      </c>
      <c r="AK71" s="127">
        <f>'App 5 - Organics'!X71+'App 5 - Organics'!AF71</f>
        <v>0</v>
      </c>
      <c r="AL71" s="128">
        <f>'App 6 - Residual Waste'!AC71+'App 6 - Residual Waste'!AI71</f>
        <v>5214.7</v>
      </c>
      <c r="AM71" s="128">
        <f>'App 6 - Residual Waste'!AD71+'App 6 - Residual Waste'!AJ71</f>
        <v>174.28999999999996</v>
      </c>
      <c r="AN71" s="128">
        <f>'App 6 - Residual Waste'!AE71+'App 6 - Residual Waste'!AK71</f>
        <v>5040.41</v>
      </c>
      <c r="AO71" s="121"/>
      <c r="AP71" s="128">
        <f t="shared" si="24"/>
        <v>7687.8899999999994</v>
      </c>
      <c r="AQ71" s="128">
        <f t="shared" si="25"/>
        <v>2624.75</v>
      </c>
      <c r="AR71" s="128">
        <f t="shared" si="26"/>
        <v>5063.1399999999994</v>
      </c>
      <c r="AS71" s="129">
        <f t="shared" si="27"/>
        <v>0.34141357381544224</v>
      </c>
    </row>
    <row r="72" spans="1:45" ht="15.75" x14ac:dyDescent="0.25">
      <c r="A72" s="8">
        <v>14850</v>
      </c>
      <c r="B72" s="8" t="s">
        <v>125</v>
      </c>
      <c r="C72" s="8" t="s">
        <v>19</v>
      </c>
      <c r="D72" s="29" t="s">
        <v>3</v>
      </c>
      <c r="E72" s="126"/>
      <c r="F72" s="127">
        <f>'App 4 - Recyclables'!V73</f>
        <v>8045.52</v>
      </c>
      <c r="G72" s="127">
        <f>'App 4 - Recyclables'!W73</f>
        <v>6773.52</v>
      </c>
      <c r="H72" s="127">
        <f>'App 4 - Recyclables'!X73</f>
        <v>1272</v>
      </c>
      <c r="I72" s="127">
        <f>'App 5 - Organics'!V72</f>
        <v>6997</v>
      </c>
      <c r="J72" s="127">
        <f>'App 5 - Organics'!W72</f>
        <v>6997</v>
      </c>
      <c r="K72" s="127">
        <f>'App 5 - Organics'!X72</f>
        <v>0</v>
      </c>
      <c r="L72" s="128">
        <f>'App 6 - Residual Waste'!AC72</f>
        <v>10180</v>
      </c>
      <c r="M72" s="128">
        <f>'App 6 - Residual Waste'!AD72</f>
        <v>3942</v>
      </c>
      <c r="N72" s="128">
        <f>'App 6 - Residual Waste'!AE72</f>
        <v>6238</v>
      </c>
      <c r="O72" s="121"/>
      <c r="P72" s="128">
        <f t="shared" si="15"/>
        <v>25222.52</v>
      </c>
      <c r="Q72" s="128">
        <f t="shared" si="15"/>
        <v>17712.52</v>
      </c>
      <c r="R72" s="128">
        <f t="shared" si="15"/>
        <v>7510</v>
      </c>
      <c r="S72" s="129">
        <f t="shared" si="16"/>
        <v>0.70225021131909104</v>
      </c>
      <c r="U72" s="130">
        <f>(P72*1000)/'App 1 - Services'!F72/52</f>
        <v>11.047178389287847</v>
      </c>
      <c r="V72" s="130">
        <f>(P72*1000)/'App 1 - Services'!G72/52</f>
        <v>26.254314562298322</v>
      </c>
      <c r="X72" s="131">
        <f t="shared" si="17"/>
        <v>0.70225021131909104</v>
      </c>
      <c r="Y72" s="132">
        <f t="shared" si="18"/>
        <v>8045.52</v>
      </c>
      <c r="Z72" s="133">
        <f t="shared" si="19"/>
        <v>0.31898160849907148</v>
      </c>
      <c r="AA72" s="132">
        <f t="shared" si="20"/>
        <v>6997</v>
      </c>
      <c r="AB72" s="133">
        <f t="shared" si="21"/>
        <v>0.27741082175769904</v>
      </c>
      <c r="AC72" s="132">
        <f t="shared" si="22"/>
        <v>10180</v>
      </c>
      <c r="AD72" s="133">
        <f t="shared" si="23"/>
        <v>0.40360756974322948</v>
      </c>
      <c r="AF72" s="127">
        <f>'App 4 - Recyclables'!V73+'App 4 - Recyclables'!AB73</f>
        <v>8061.14</v>
      </c>
      <c r="AG72" s="127">
        <f>'App 4 - Recyclables'!W73+'App 4 - Recyclables'!AC73</f>
        <v>6789.14</v>
      </c>
      <c r="AH72" s="127">
        <f>'App 4 - Recyclables'!X73+'App 4 - Recyclables'!AD73</f>
        <v>1272</v>
      </c>
      <c r="AI72" s="127">
        <f>'App 5 - Organics'!V72+'App 5 - Organics'!AD72</f>
        <v>7173</v>
      </c>
      <c r="AJ72" s="127">
        <f>'App 5 - Organics'!W72+'App 5 - Organics'!AE72</f>
        <v>7173</v>
      </c>
      <c r="AK72" s="127">
        <f>'App 5 - Organics'!X72+'App 5 - Organics'!AF72</f>
        <v>0</v>
      </c>
      <c r="AL72" s="128">
        <f>'App 6 - Residual Waste'!AC72+'App 6 - Residual Waste'!AI72</f>
        <v>11032</v>
      </c>
      <c r="AM72" s="128">
        <f>'App 6 - Residual Waste'!AD72+'App 6 - Residual Waste'!AJ72</f>
        <v>4794</v>
      </c>
      <c r="AN72" s="128">
        <f>'App 6 - Residual Waste'!AE72+'App 6 - Residual Waste'!AK72</f>
        <v>6238</v>
      </c>
      <c r="AO72" s="121"/>
      <c r="AP72" s="128">
        <f t="shared" si="24"/>
        <v>26266.14</v>
      </c>
      <c r="AQ72" s="128">
        <f t="shared" si="25"/>
        <v>18756.14</v>
      </c>
      <c r="AR72" s="128">
        <f t="shared" si="26"/>
        <v>7510</v>
      </c>
      <c r="AS72" s="129">
        <f t="shared" si="27"/>
        <v>0.71408056151379684</v>
      </c>
    </row>
    <row r="73" spans="1:45" ht="15.75" x14ac:dyDescent="0.25">
      <c r="A73" s="8">
        <v>14870</v>
      </c>
      <c r="B73" s="8" t="s">
        <v>126</v>
      </c>
      <c r="C73" s="8" t="s">
        <v>38</v>
      </c>
      <c r="D73" s="29" t="s">
        <v>1</v>
      </c>
      <c r="E73" s="126"/>
      <c r="F73" s="127">
        <f>'App 4 - Recyclables'!V74</f>
        <v>2038.6799999999998</v>
      </c>
      <c r="G73" s="127">
        <f>'App 4 - Recyclables'!W74</f>
        <v>2038.6799999999998</v>
      </c>
      <c r="H73" s="127">
        <f>'App 4 - Recyclables'!X74</f>
        <v>0</v>
      </c>
      <c r="I73" s="127">
        <f>'App 5 - Organics'!V73</f>
        <v>833.5</v>
      </c>
      <c r="J73" s="127">
        <f>'App 5 - Organics'!W73</f>
        <v>833.5</v>
      </c>
      <c r="K73" s="127">
        <f>'App 5 - Organics'!X73</f>
        <v>0</v>
      </c>
      <c r="L73" s="128">
        <f>'App 6 - Residual Waste'!AC73</f>
        <v>13306.96</v>
      </c>
      <c r="M73" s="128">
        <f>'App 6 - Residual Waste'!AD73</f>
        <v>844</v>
      </c>
      <c r="N73" s="128">
        <f>'App 6 - Residual Waste'!AE73</f>
        <v>12462.96</v>
      </c>
      <c r="O73" s="121"/>
      <c r="P73" s="128">
        <f t="shared" si="15"/>
        <v>16179.14</v>
      </c>
      <c r="Q73" s="128">
        <f t="shared" si="15"/>
        <v>3716.18</v>
      </c>
      <c r="R73" s="128">
        <f t="shared" si="15"/>
        <v>12462.96</v>
      </c>
      <c r="S73" s="129">
        <f t="shared" si="16"/>
        <v>0.22968958795090469</v>
      </c>
      <c r="U73" s="130">
        <f>(P73*1000)/'App 1 - Services'!F73/52</f>
        <v>15.013380992680355</v>
      </c>
      <c r="V73" s="130">
        <f>(P73*1000)/'App 1 - Services'!G73/52</f>
        <v>26.661294575176324</v>
      </c>
      <c r="X73" s="131">
        <f t="shared" si="17"/>
        <v>0.22968958795090469</v>
      </c>
      <c r="Y73" s="132">
        <f t="shared" si="18"/>
        <v>2038.6799999999998</v>
      </c>
      <c r="Z73" s="133">
        <f t="shared" si="19"/>
        <v>0.12600669751297039</v>
      </c>
      <c r="AA73" s="132">
        <f t="shared" si="20"/>
        <v>833.5</v>
      </c>
      <c r="AB73" s="133">
        <f t="shared" si="21"/>
        <v>5.1516953311486272E-2</v>
      </c>
      <c r="AC73" s="132">
        <f t="shared" si="22"/>
        <v>13306.96</v>
      </c>
      <c r="AD73" s="133">
        <f t="shared" si="23"/>
        <v>0.82247634917554335</v>
      </c>
      <c r="AF73" s="127">
        <f>'App 4 - Recyclables'!V74+'App 4 - Recyclables'!AB74</f>
        <v>2038.6799999999998</v>
      </c>
      <c r="AG73" s="127">
        <f>'App 4 - Recyclables'!W74+'App 4 - Recyclables'!AC74</f>
        <v>2038.6799999999998</v>
      </c>
      <c r="AH73" s="127">
        <f>'App 4 - Recyclables'!X74+'App 4 - Recyclables'!AD74</f>
        <v>0</v>
      </c>
      <c r="AI73" s="127">
        <f>'App 5 - Organics'!V73+'App 5 - Organics'!AD73</f>
        <v>1280.29</v>
      </c>
      <c r="AJ73" s="127">
        <f>'App 5 - Organics'!W73+'App 5 - Organics'!AE73</f>
        <v>1280.29</v>
      </c>
      <c r="AK73" s="127">
        <f>'App 5 - Organics'!X73+'App 5 - Organics'!AF73</f>
        <v>0</v>
      </c>
      <c r="AL73" s="128">
        <f>'App 6 - Residual Waste'!AC73+'App 6 - Residual Waste'!AI73</f>
        <v>17923.079999999998</v>
      </c>
      <c r="AM73" s="128">
        <f>'App 6 - Residual Waste'!AD73+'App 6 - Residual Waste'!AJ73</f>
        <v>844.11999999999989</v>
      </c>
      <c r="AN73" s="128">
        <f>'App 6 - Residual Waste'!AE73+'App 6 - Residual Waste'!AK73</f>
        <v>17078.96</v>
      </c>
      <c r="AO73" s="121"/>
      <c r="AP73" s="128">
        <f t="shared" si="24"/>
        <v>21242.05</v>
      </c>
      <c r="AQ73" s="128">
        <f t="shared" si="25"/>
        <v>4163.09</v>
      </c>
      <c r="AR73" s="128">
        <f t="shared" si="26"/>
        <v>17078.96</v>
      </c>
      <c r="AS73" s="129">
        <f t="shared" si="27"/>
        <v>0.19598343850993669</v>
      </c>
    </row>
    <row r="74" spans="1:45" ht="15.75" x14ac:dyDescent="0.25">
      <c r="A74" s="8">
        <v>14900</v>
      </c>
      <c r="B74" s="8" t="s">
        <v>53</v>
      </c>
      <c r="C74" s="8" t="s">
        <v>18</v>
      </c>
      <c r="D74" s="29" t="s">
        <v>2</v>
      </c>
      <c r="E74" s="126"/>
      <c r="F74" s="127">
        <f>'App 4 - Recyclables'!V75</f>
        <v>20101.629999999997</v>
      </c>
      <c r="G74" s="127">
        <f>'App 4 - Recyclables'!W75</f>
        <v>18836.480000000003</v>
      </c>
      <c r="H74" s="127">
        <f>'App 4 - Recyclables'!X75</f>
        <v>1265.1500000000001</v>
      </c>
      <c r="I74" s="127">
        <f>'App 5 - Organics'!V74</f>
        <v>17939.84</v>
      </c>
      <c r="J74" s="127">
        <f>'App 5 - Organics'!W74</f>
        <v>17402.48</v>
      </c>
      <c r="K74" s="127">
        <f>'App 5 - Organics'!X74</f>
        <v>537.36</v>
      </c>
      <c r="L74" s="128">
        <f>'App 6 - Residual Waste'!AC74</f>
        <v>61352.86</v>
      </c>
      <c r="M74" s="128">
        <f>'App 6 - Residual Waste'!AD74</f>
        <v>497.89999999999992</v>
      </c>
      <c r="N74" s="128">
        <f>'App 6 - Residual Waste'!AE74</f>
        <v>60854.96</v>
      </c>
      <c r="O74" s="121"/>
      <c r="P74" s="128">
        <f t="shared" si="15"/>
        <v>99394.33</v>
      </c>
      <c r="Q74" s="128">
        <f t="shared" si="15"/>
        <v>36736.860000000008</v>
      </c>
      <c r="R74" s="128">
        <f t="shared" si="15"/>
        <v>62657.47</v>
      </c>
      <c r="S74" s="129">
        <f t="shared" si="16"/>
        <v>0.36960719992780278</v>
      </c>
      <c r="U74" s="130">
        <f>(P74*1000)/'App 1 - Services'!F74/52</f>
        <v>7.7175838329602175</v>
      </c>
      <c r="V74" s="130">
        <f>(P74*1000)/'App 1 - Services'!G74/52</f>
        <v>24.537593045738312</v>
      </c>
      <c r="X74" s="131">
        <f t="shared" si="17"/>
        <v>0.36960719992780278</v>
      </c>
      <c r="Y74" s="132">
        <f t="shared" si="18"/>
        <v>20101.629999999997</v>
      </c>
      <c r="Z74" s="133">
        <f t="shared" si="19"/>
        <v>0.20224121436303255</v>
      </c>
      <c r="AA74" s="132">
        <f t="shared" si="20"/>
        <v>17939.84</v>
      </c>
      <c r="AB74" s="133">
        <f t="shared" si="21"/>
        <v>0.18049158337301535</v>
      </c>
      <c r="AC74" s="132">
        <f t="shared" si="22"/>
        <v>61352.86</v>
      </c>
      <c r="AD74" s="133">
        <f t="shared" si="23"/>
        <v>0.61726720226395204</v>
      </c>
      <c r="AF74" s="127">
        <f>'App 4 - Recyclables'!V75+'App 4 - Recyclables'!AB75</f>
        <v>20101.629999999997</v>
      </c>
      <c r="AG74" s="127">
        <f>'App 4 - Recyclables'!W75+'App 4 - Recyclables'!AC75</f>
        <v>18836.480000000003</v>
      </c>
      <c r="AH74" s="127">
        <f>'App 4 - Recyclables'!X75+'App 4 - Recyclables'!AD75</f>
        <v>1265.1500000000001</v>
      </c>
      <c r="AI74" s="127">
        <f>'App 5 - Organics'!V74+'App 5 - Organics'!AD74</f>
        <v>17939.84</v>
      </c>
      <c r="AJ74" s="127">
        <f>'App 5 - Organics'!W74+'App 5 - Organics'!AE74</f>
        <v>17402.48</v>
      </c>
      <c r="AK74" s="127">
        <f>'App 5 - Organics'!X74+'App 5 - Organics'!AF74</f>
        <v>537.36</v>
      </c>
      <c r="AL74" s="128">
        <f>'App 6 - Residual Waste'!AC74+'App 6 - Residual Waste'!AI74</f>
        <v>61352.86</v>
      </c>
      <c r="AM74" s="128">
        <f>'App 6 - Residual Waste'!AD74+'App 6 - Residual Waste'!AJ74</f>
        <v>497.89999999999992</v>
      </c>
      <c r="AN74" s="128">
        <f>'App 6 - Residual Waste'!AE74+'App 6 - Residual Waste'!AK74</f>
        <v>60854.96</v>
      </c>
      <c r="AO74" s="121"/>
      <c r="AP74" s="128">
        <f t="shared" si="24"/>
        <v>99394.33</v>
      </c>
      <c r="AQ74" s="128">
        <f t="shared" si="25"/>
        <v>36736.860000000008</v>
      </c>
      <c r="AR74" s="128">
        <f t="shared" si="26"/>
        <v>62657.47</v>
      </c>
      <c r="AS74" s="129">
        <f t="shared" si="27"/>
        <v>0.36960719992780278</v>
      </c>
    </row>
    <row r="75" spans="1:45" ht="15.75" x14ac:dyDescent="0.25">
      <c r="A75" s="8">
        <v>14920</v>
      </c>
      <c r="B75" s="8" t="s">
        <v>127</v>
      </c>
      <c r="C75" s="8" t="s">
        <v>16</v>
      </c>
      <c r="D75" s="29" t="s">
        <v>1</v>
      </c>
      <c r="E75" s="126"/>
      <c r="F75" s="127">
        <f>'App 4 - Recyclables'!V76</f>
        <v>486.63</v>
      </c>
      <c r="G75" s="127">
        <f>'App 4 - Recyclables'!W76</f>
        <v>406.63</v>
      </c>
      <c r="H75" s="127">
        <f>'App 4 - Recyclables'!X76</f>
        <v>80</v>
      </c>
      <c r="I75" s="127">
        <f>'App 5 - Organics'!V75</f>
        <v>11</v>
      </c>
      <c r="J75" s="127">
        <f>'App 5 - Organics'!W75</f>
        <v>0</v>
      </c>
      <c r="K75" s="127">
        <f>'App 5 - Organics'!X75</f>
        <v>11</v>
      </c>
      <c r="L75" s="128">
        <f>'App 6 - Residual Waste'!AC75</f>
        <v>2237</v>
      </c>
      <c r="M75" s="128">
        <f>'App 6 - Residual Waste'!AD75</f>
        <v>0</v>
      </c>
      <c r="N75" s="128">
        <f>'App 6 - Residual Waste'!AE75</f>
        <v>2237</v>
      </c>
      <c r="O75" s="121"/>
      <c r="P75" s="128">
        <f t="shared" si="15"/>
        <v>2734.63</v>
      </c>
      <c r="Q75" s="128">
        <f t="shared" si="15"/>
        <v>406.63</v>
      </c>
      <c r="R75" s="128">
        <f t="shared" si="15"/>
        <v>2328</v>
      </c>
      <c r="S75" s="129">
        <f t="shared" si="16"/>
        <v>0.14869653298618093</v>
      </c>
      <c r="U75" s="130">
        <f>(P75*1000)/'App 1 - Services'!F75/52</f>
        <v>6.8591415757843306</v>
      </c>
      <c r="V75" s="130">
        <f>(P75*1000)/'App 1 - Services'!G75/52</f>
        <v>13.384840534878713</v>
      </c>
      <c r="X75" s="131">
        <f t="shared" si="17"/>
        <v>0.14869653298618093</v>
      </c>
      <c r="Y75" s="132">
        <f t="shared" si="18"/>
        <v>486.63</v>
      </c>
      <c r="Z75" s="133">
        <f t="shared" si="19"/>
        <v>0.17795094766019534</v>
      </c>
      <c r="AA75" s="132">
        <f t="shared" si="20"/>
        <v>11</v>
      </c>
      <c r="AB75" s="133">
        <f t="shared" si="21"/>
        <v>4.0224820176769796E-3</v>
      </c>
      <c r="AC75" s="132">
        <f t="shared" si="22"/>
        <v>2237</v>
      </c>
      <c r="AD75" s="133">
        <f t="shared" si="23"/>
        <v>0.81802657032212767</v>
      </c>
      <c r="AF75" s="127">
        <f>'App 4 - Recyclables'!V76+'App 4 - Recyclables'!AB76</f>
        <v>486.63</v>
      </c>
      <c r="AG75" s="127">
        <f>'App 4 - Recyclables'!W76+'App 4 - Recyclables'!AC76</f>
        <v>406.63</v>
      </c>
      <c r="AH75" s="127">
        <f>'App 4 - Recyclables'!X76+'App 4 - Recyclables'!AD76</f>
        <v>80</v>
      </c>
      <c r="AI75" s="127">
        <f>'App 5 - Organics'!V75+'App 5 - Organics'!AD75</f>
        <v>11</v>
      </c>
      <c r="AJ75" s="127">
        <f>'App 5 - Organics'!W75+'App 5 - Organics'!AE75</f>
        <v>0</v>
      </c>
      <c r="AK75" s="127">
        <f>'App 5 - Organics'!X75+'App 5 - Organics'!AF75</f>
        <v>11</v>
      </c>
      <c r="AL75" s="128">
        <f>'App 6 - Residual Waste'!AC75+'App 6 - Residual Waste'!AI75</f>
        <v>2237</v>
      </c>
      <c r="AM75" s="128">
        <f>'App 6 - Residual Waste'!AD75+'App 6 - Residual Waste'!AJ75</f>
        <v>0</v>
      </c>
      <c r="AN75" s="128">
        <f>'App 6 - Residual Waste'!AE75+'App 6 - Residual Waste'!AK75</f>
        <v>2237</v>
      </c>
      <c r="AO75" s="121"/>
      <c r="AP75" s="128">
        <f t="shared" si="24"/>
        <v>2734.63</v>
      </c>
      <c r="AQ75" s="128">
        <f t="shared" si="25"/>
        <v>406.63</v>
      </c>
      <c r="AR75" s="128">
        <f t="shared" si="26"/>
        <v>2328</v>
      </c>
      <c r="AS75" s="129">
        <f t="shared" si="27"/>
        <v>0.14869653298618093</v>
      </c>
    </row>
    <row r="76" spans="1:45" ht="15.75" x14ac:dyDescent="0.25">
      <c r="A76" s="8">
        <v>14950</v>
      </c>
      <c r="B76" s="8" t="s">
        <v>128</v>
      </c>
      <c r="C76" s="8" t="s">
        <v>21</v>
      </c>
      <c r="D76" s="29" t="s">
        <v>1</v>
      </c>
      <c r="E76" s="126"/>
      <c r="F76" s="127">
        <f>'App 4 - Recyclables'!V77</f>
        <v>318</v>
      </c>
      <c r="G76" s="127">
        <f>'App 4 - Recyclables'!W77</f>
        <v>317</v>
      </c>
      <c r="H76" s="127">
        <f>'App 4 - Recyclables'!X77</f>
        <v>1</v>
      </c>
      <c r="I76" s="127">
        <f>'App 5 - Organics'!V76</f>
        <v>406</v>
      </c>
      <c r="J76" s="127">
        <f>'App 5 - Organics'!W76</f>
        <v>406</v>
      </c>
      <c r="K76" s="127">
        <f>'App 5 - Organics'!X76</f>
        <v>0</v>
      </c>
      <c r="L76" s="128">
        <f>'App 6 - Residual Waste'!AC76</f>
        <v>600</v>
      </c>
      <c r="M76" s="128">
        <f>'App 6 - Residual Waste'!AD76</f>
        <v>5</v>
      </c>
      <c r="N76" s="128">
        <f>'App 6 - Residual Waste'!AE76</f>
        <v>595</v>
      </c>
      <c r="O76" s="121"/>
      <c r="P76" s="128">
        <f t="shared" si="15"/>
        <v>1324</v>
      </c>
      <c r="Q76" s="128">
        <f t="shared" si="15"/>
        <v>728</v>
      </c>
      <c r="R76" s="128">
        <f t="shared" si="15"/>
        <v>596</v>
      </c>
      <c r="S76" s="129">
        <f t="shared" si="16"/>
        <v>0.54984894259818728</v>
      </c>
      <c r="U76" s="130">
        <f>(P76*1000)/'App 1 - Services'!F76/52</f>
        <v>7.4975083809006069</v>
      </c>
      <c r="V76" s="130">
        <f>(P76*1000)/'App 1 - Services'!G76/52</f>
        <v>9.5005740528128584</v>
      </c>
      <c r="X76" s="131">
        <f t="shared" si="17"/>
        <v>0.54984894259818728</v>
      </c>
      <c r="Y76" s="132">
        <f t="shared" si="18"/>
        <v>318</v>
      </c>
      <c r="Z76" s="133">
        <f t="shared" si="19"/>
        <v>0.24018126888217523</v>
      </c>
      <c r="AA76" s="132">
        <f t="shared" si="20"/>
        <v>406</v>
      </c>
      <c r="AB76" s="133">
        <f t="shared" si="21"/>
        <v>0.30664652567975831</v>
      </c>
      <c r="AC76" s="132">
        <f t="shared" si="22"/>
        <v>600</v>
      </c>
      <c r="AD76" s="133">
        <f t="shared" si="23"/>
        <v>0.45317220543806647</v>
      </c>
      <c r="AF76" s="127">
        <f>'App 4 - Recyclables'!V77+'App 4 - Recyclables'!AB77</f>
        <v>318</v>
      </c>
      <c r="AG76" s="127">
        <f>'App 4 - Recyclables'!W77+'App 4 - Recyclables'!AC77</f>
        <v>317</v>
      </c>
      <c r="AH76" s="127">
        <f>'App 4 - Recyclables'!X77+'App 4 - Recyclables'!AD77</f>
        <v>1</v>
      </c>
      <c r="AI76" s="127">
        <f>'App 5 - Organics'!V76+'App 5 - Organics'!AD76</f>
        <v>406</v>
      </c>
      <c r="AJ76" s="127">
        <f>'App 5 - Organics'!W76+'App 5 - Organics'!AE76</f>
        <v>406</v>
      </c>
      <c r="AK76" s="127">
        <f>'App 5 - Organics'!X76+'App 5 - Organics'!AF76</f>
        <v>0</v>
      </c>
      <c r="AL76" s="128">
        <f>'App 6 - Residual Waste'!AC76+'App 6 - Residual Waste'!AI76</f>
        <v>600</v>
      </c>
      <c r="AM76" s="128">
        <f>'App 6 - Residual Waste'!AD76+'App 6 - Residual Waste'!AJ76</f>
        <v>5</v>
      </c>
      <c r="AN76" s="128">
        <f>'App 6 - Residual Waste'!AE76+'App 6 - Residual Waste'!AK76</f>
        <v>595</v>
      </c>
      <c r="AO76" s="121"/>
      <c r="AP76" s="128">
        <f t="shared" si="24"/>
        <v>1324</v>
      </c>
      <c r="AQ76" s="128">
        <f t="shared" si="25"/>
        <v>728</v>
      </c>
      <c r="AR76" s="128">
        <f t="shared" si="26"/>
        <v>596</v>
      </c>
      <c r="AS76" s="129">
        <f t="shared" si="27"/>
        <v>0.54984894259818728</v>
      </c>
    </row>
    <row r="77" spans="1:45" ht="15.75" x14ac:dyDescent="0.25">
      <c r="A77" s="8">
        <v>15050</v>
      </c>
      <c r="B77" s="8" t="s">
        <v>129</v>
      </c>
      <c r="C77" s="8" t="s">
        <v>23</v>
      </c>
      <c r="D77" s="29" t="s">
        <v>2</v>
      </c>
      <c r="E77" s="126"/>
      <c r="F77" s="127">
        <f>'App 4 - Recyclables'!V78</f>
        <v>8406.35</v>
      </c>
      <c r="G77" s="127">
        <f>'App 4 - Recyclables'!W78</f>
        <v>7918.0599999999995</v>
      </c>
      <c r="H77" s="127">
        <f>'App 4 - Recyclables'!X78</f>
        <v>488.29</v>
      </c>
      <c r="I77" s="127">
        <f>'App 5 - Organics'!V77</f>
        <v>11621.53</v>
      </c>
      <c r="J77" s="127">
        <f>'App 5 - Organics'!W77</f>
        <v>11608.1</v>
      </c>
      <c r="K77" s="127">
        <f>'App 5 - Organics'!X77</f>
        <v>13.43</v>
      </c>
      <c r="L77" s="128">
        <f>'App 6 - Residual Waste'!AC77</f>
        <v>31802.539999999997</v>
      </c>
      <c r="M77" s="128">
        <f>'App 6 - Residual Waste'!AD77</f>
        <v>260.14000000000021</v>
      </c>
      <c r="N77" s="128">
        <f>'App 6 - Residual Waste'!AE77</f>
        <v>31542.400000000001</v>
      </c>
      <c r="O77" s="121"/>
      <c r="P77" s="128">
        <f t="shared" si="15"/>
        <v>51830.42</v>
      </c>
      <c r="Q77" s="128">
        <f t="shared" si="15"/>
        <v>19786.3</v>
      </c>
      <c r="R77" s="128">
        <f t="shared" si="15"/>
        <v>32044.120000000003</v>
      </c>
      <c r="S77" s="129">
        <f t="shared" si="16"/>
        <v>0.38175071704994867</v>
      </c>
      <c r="U77" s="130">
        <f>(P77*1000)/'App 1 - Services'!F77/52</f>
        <v>10.387348980833563</v>
      </c>
      <c r="V77" s="130">
        <f>(P77*1000)/'App 1 - Services'!G77/52</f>
        <v>26.984104341162112</v>
      </c>
      <c r="X77" s="131">
        <f t="shared" si="17"/>
        <v>0.38175071704994867</v>
      </c>
      <c r="Y77" s="132">
        <f t="shared" si="18"/>
        <v>8406.35</v>
      </c>
      <c r="Z77" s="133">
        <f t="shared" si="19"/>
        <v>0.16218950184081088</v>
      </c>
      <c r="AA77" s="132">
        <f t="shared" si="20"/>
        <v>11621.53</v>
      </c>
      <c r="AB77" s="133">
        <f t="shared" si="21"/>
        <v>0.22422218457809143</v>
      </c>
      <c r="AC77" s="132">
        <f t="shared" si="22"/>
        <v>31802.539999999997</v>
      </c>
      <c r="AD77" s="133">
        <f t="shared" si="23"/>
        <v>0.61358831358109767</v>
      </c>
      <c r="AF77" s="127">
        <f>'App 4 - Recyclables'!V78+'App 4 - Recyclables'!AB78</f>
        <v>8406.35</v>
      </c>
      <c r="AG77" s="127">
        <f>'App 4 - Recyclables'!W78+'App 4 - Recyclables'!AC78</f>
        <v>7918.0599999999995</v>
      </c>
      <c r="AH77" s="127">
        <f>'App 4 - Recyclables'!X78+'App 4 - Recyclables'!AD78</f>
        <v>488.29</v>
      </c>
      <c r="AI77" s="127">
        <f>'App 5 - Organics'!V77+'App 5 - Organics'!AD77</f>
        <v>11802.570000000002</v>
      </c>
      <c r="AJ77" s="127">
        <f>'App 5 - Organics'!W77+'App 5 - Organics'!AE77</f>
        <v>11789.140000000001</v>
      </c>
      <c r="AK77" s="127">
        <f>'App 5 - Organics'!X77+'App 5 - Organics'!AF77</f>
        <v>13.43</v>
      </c>
      <c r="AL77" s="128">
        <f>'App 6 - Residual Waste'!AC77+'App 6 - Residual Waste'!AI77</f>
        <v>35634.78</v>
      </c>
      <c r="AM77" s="128">
        <f>'App 6 - Residual Waste'!AD77+'App 6 - Residual Waste'!AJ77</f>
        <v>260.14000000000021</v>
      </c>
      <c r="AN77" s="128">
        <f>'App 6 - Residual Waste'!AE77+'App 6 - Residual Waste'!AK77</f>
        <v>35374.639999999999</v>
      </c>
      <c r="AO77" s="121"/>
      <c r="AP77" s="128">
        <f t="shared" si="24"/>
        <v>55843.7</v>
      </c>
      <c r="AQ77" s="128">
        <f t="shared" si="25"/>
        <v>19967.34</v>
      </c>
      <c r="AR77" s="128">
        <f t="shared" si="26"/>
        <v>35876.36</v>
      </c>
      <c r="AS77" s="129">
        <f t="shared" si="27"/>
        <v>0.35755761169120243</v>
      </c>
    </row>
    <row r="78" spans="1:45" ht="15.75" x14ac:dyDescent="0.25">
      <c r="A78" s="8">
        <v>15240</v>
      </c>
      <c r="B78" s="8" t="s">
        <v>130</v>
      </c>
      <c r="C78" s="8" t="s">
        <v>39</v>
      </c>
      <c r="D78" s="29" t="s">
        <v>3</v>
      </c>
      <c r="E78" s="126"/>
      <c r="F78" s="127">
        <f>'App 4 - Recyclables'!V79</f>
        <v>11342.490000000002</v>
      </c>
      <c r="G78" s="127">
        <f>'App 4 - Recyclables'!W79</f>
        <v>10775.39</v>
      </c>
      <c r="H78" s="127">
        <f>'App 4 - Recyclables'!X79</f>
        <v>567.1</v>
      </c>
      <c r="I78" s="127">
        <f>'App 5 - Organics'!V78</f>
        <v>10310.32</v>
      </c>
      <c r="J78" s="127">
        <f>'App 5 - Organics'!W78</f>
        <v>10310.32</v>
      </c>
      <c r="K78" s="127">
        <f>'App 5 - Organics'!X78</f>
        <v>0</v>
      </c>
      <c r="L78" s="128">
        <f>'App 6 - Residual Waste'!AC78</f>
        <v>23393.420000000002</v>
      </c>
      <c r="M78" s="128">
        <f>'App 6 - Residual Waste'!AD78</f>
        <v>0</v>
      </c>
      <c r="N78" s="128">
        <f>'App 6 - Residual Waste'!AE78</f>
        <v>23393.420000000002</v>
      </c>
      <c r="O78" s="121"/>
      <c r="P78" s="128">
        <f t="shared" si="15"/>
        <v>45046.23</v>
      </c>
      <c r="Q78" s="128">
        <f t="shared" si="15"/>
        <v>21085.71</v>
      </c>
      <c r="R78" s="128">
        <f t="shared" si="15"/>
        <v>23960.52</v>
      </c>
      <c r="S78" s="129">
        <f t="shared" si="16"/>
        <v>0.46809044841266401</v>
      </c>
      <c r="U78" s="130">
        <f>(P78*1000)/'App 1 - Services'!F78/52</f>
        <v>8.847742841272547</v>
      </c>
      <c r="V78" s="130">
        <f>(P78*1000)/'App 1 - Services'!G78/52</f>
        <v>17.205037812237414</v>
      </c>
      <c r="X78" s="131">
        <f t="shared" si="17"/>
        <v>0.46809044841266401</v>
      </c>
      <c r="Y78" s="132">
        <f t="shared" si="18"/>
        <v>11342.490000000002</v>
      </c>
      <c r="Z78" s="133">
        <f t="shared" si="19"/>
        <v>0.25179665423721365</v>
      </c>
      <c r="AA78" s="132">
        <f t="shared" si="20"/>
        <v>10310.32</v>
      </c>
      <c r="AB78" s="133">
        <f t="shared" si="21"/>
        <v>0.22888308300161853</v>
      </c>
      <c r="AC78" s="132">
        <f t="shared" si="22"/>
        <v>23393.420000000002</v>
      </c>
      <c r="AD78" s="133">
        <f t="shared" si="23"/>
        <v>0.51932026276116783</v>
      </c>
      <c r="AF78" s="127">
        <f>'App 4 - Recyclables'!V79+'App 4 - Recyclables'!AB79</f>
        <v>11342.490000000002</v>
      </c>
      <c r="AG78" s="127">
        <f>'App 4 - Recyclables'!W79+'App 4 - Recyclables'!AC79</f>
        <v>10775.39</v>
      </c>
      <c r="AH78" s="127">
        <f>'App 4 - Recyclables'!X79+'App 4 - Recyclables'!AD79</f>
        <v>567.1</v>
      </c>
      <c r="AI78" s="127">
        <f>'App 5 - Organics'!V78+'App 5 - Organics'!AD78</f>
        <v>10310.32</v>
      </c>
      <c r="AJ78" s="127">
        <f>'App 5 - Organics'!W78+'App 5 - Organics'!AE78</f>
        <v>10310.32</v>
      </c>
      <c r="AK78" s="127">
        <f>'App 5 - Organics'!X78+'App 5 - Organics'!AF78</f>
        <v>0</v>
      </c>
      <c r="AL78" s="128">
        <f>'App 6 - Residual Waste'!AC78+'App 6 - Residual Waste'!AI78</f>
        <v>23393.420000000002</v>
      </c>
      <c r="AM78" s="128">
        <f>'App 6 - Residual Waste'!AD78+'App 6 - Residual Waste'!AJ78</f>
        <v>0</v>
      </c>
      <c r="AN78" s="128">
        <f>'App 6 - Residual Waste'!AE78+'App 6 - Residual Waste'!AK78</f>
        <v>23393.420000000002</v>
      </c>
      <c r="AO78" s="121"/>
      <c r="AP78" s="128">
        <f t="shared" si="24"/>
        <v>45046.23</v>
      </c>
      <c r="AQ78" s="128">
        <f t="shared" si="25"/>
        <v>21085.71</v>
      </c>
      <c r="AR78" s="128">
        <f t="shared" si="26"/>
        <v>23960.52</v>
      </c>
      <c r="AS78" s="129">
        <f t="shared" si="27"/>
        <v>0.46809044841266401</v>
      </c>
    </row>
    <row r="79" spans="1:45" ht="15.75" x14ac:dyDescent="0.25">
      <c r="A79" s="8">
        <v>15270</v>
      </c>
      <c r="B79" s="8" t="s">
        <v>131</v>
      </c>
      <c r="C79" s="8" t="s">
        <v>38</v>
      </c>
      <c r="D79" s="29" t="s">
        <v>1</v>
      </c>
      <c r="E79" s="126"/>
      <c r="F79" s="127">
        <f>'App 4 - Recyclables'!V80</f>
        <v>2521.3200000000002</v>
      </c>
      <c r="G79" s="127">
        <f>'App 4 - Recyclables'!W80</f>
        <v>1988.16</v>
      </c>
      <c r="H79" s="127">
        <f>'App 4 - Recyclables'!X80</f>
        <v>533.16</v>
      </c>
      <c r="I79" s="127">
        <f>'App 5 - Organics'!V79</f>
        <v>3122.2300000000005</v>
      </c>
      <c r="J79" s="127">
        <f>'App 5 - Organics'!W79</f>
        <v>3122.2300000000005</v>
      </c>
      <c r="K79" s="127">
        <f>'App 5 - Organics'!X79</f>
        <v>0</v>
      </c>
      <c r="L79" s="128">
        <f>'App 6 - Residual Waste'!AC79</f>
        <v>10401.11</v>
      </c>
      <c r="M79" s="128">
        <f>'App 6 - Residual Waste'!AD79</f>
        <v>14.0600000000004</v>
      </c>
      <c r="N79" s="128">
        <f>'App 6 - Residual Waste'!AE79</f>
        <v>10387.049999999999</v>
      </c>
      <c r="O79" s="121"/>
      <c r="P79" s="128">
        <f t="shared" si="15"/>
        <v>16044.660000000002</v>
      </c>
      <c r="Q79" s="128">
        <f t="shared" si="15"/>
        <v>5124.4500000000007</v>
      </c>
      <c r="R79" s="128">
        <f t="shared" si="15"/>
        <v>10920.21</v>
      </c>
      <c r="S79" s="129">
        <f t="shared" si="16"/>
        <v>0.31938663704933606</v>
      </c>
      <c r="U79" s="130">
        <f>(P79*1000)/'App 1 - Services'!F79/52</f>
        <v>11.90352046009621</v>
      </c>
      <c r="V79" s="130">
        <f>(P79*1000)/'App 1 - Services'!G79/52</f>
        <v>19.279627208582472</v>
      </c>
      <c r="X79" s="131">
        <f t="shared" si="17"/>
        <v>0.31938663704933606</v>
      </c>
      <c r="Y79" s="132">
        <f t="shared" si="18"/>
        <v>2521.3200000000002</v>
      </c>
      <c r="Z79" s="133">
        <f t="shared" si="19"/>
        <v>0.15714387216681439</v>
      </c>
      <c r="AA79" s="132">
        <f t="shared" si="20"/>
        <v>3122.2300000000005</v>
      </c>
      <c r="AB79" s="133">
        <f t="shared" si="21"/>
        <v>0.19459620833348915</v>
      </c>
      <c r="AC79" s="132">
        <f t="shared" si="22"/>
        <v>10401.11</v>
      </c>
      <c r="AD79" s="133">
        <f t="shared" si="23"/>
        <v>0.64825991949969641</v>
      </c>
      <c r="AF79" s="127">
        <f>'App 4 - Recyclables'!V80+'App 4 - Recyclables'!AB80</f>
        <v>2521.3200000000002</v>
      </c>
      <c r="AG79" s="127">
        <f>'App 4 - Recyclables'!W80+'App 4 - Recyclables'!AC80</f>
        <v>1988.16</v>
      </c>
      <c r="AH79" s="127">
        <f>'App 4 - Recyclables'!X80+'App 4 - Recyclables'!AD80</f>
        <v>533.16</v>
      </c>
      <c r="AI79" s="127">
        <f>'App 5 - Organics'!V79+'App 5 - Organics'!AD79</f>
        <v>3122.2300000000005</v>
      </c>
      <c r="AJ79" s="127">
        <f>'App 5 - Organics'!W79+'App 5 - Organics'!AE79</f>
        <v>3122.2300000000005</v>
      </c>
      <c r="AK79" s="127">
        <f>'App 5 - Organics'!X79+'App 5 - Organics'!AF79</f>
        <v>0</v>
      </c>
      <c r="AL79" s="128">
        <f>'App 6 - Residual Waste'!AC79+'App 6 - Residual Waste'!AI79</f>
        <v>11056.710000000001</v>
      </c>
      <c r="AM79" s="128">
        <f>'App 6 - Residual Waste'!AD79+'App 6 - Residual Waste'!AJ79</f>
        <v>14.0600000000004</v>
      </c>
      <c r="AN79" s="128">
        <f>'App 6 - Residual Waste'!AE79+'App 6 - Residual Waste'!AK79</f>
        <v>11042.65</v>
      </c>
      <c r="AO79" s="121"/>
      <c r="AP79" s="128">
        <f t="shared" si="24"/>
        <v>16700.260000000002</v>
      </c>
      <c r="AQ79" s="128">
        <f t="shared" si="25"/>
        <v>5124.4500000000007</v>
      </c>
      <c r="AR79" s="128">
        <f t="shared" si="26"/>
        <v>11575.81</v>
      </c>
      <c r="AS79" s="129">
        <f t="shared" si="27"/>
        <v>0.30684851613088659</v>
      </c>
    </row>
    <row r="80" spans="1:45" ht="15.75" x14ac:dyDescent="0.25">
      <c r="A80" s="8">
        <v>15300</v>
      </c>
      <c r="B80" s="8" t="s">
        <v>132</v>
      </c>
      <c r="C80" s="8" t="s">
        <v>16</v>
      </c>
      <c r="D80" s="29" t="s">
        <v>1</v>
      </c>
      <c r="E80" s="126"/>
      <c r="F80" s="127">
        <f>'App 4 - Recyclables'!V81</f>
        <v>857.31000000000006</v>
      </c>
      <c r="G80" s="127">
        <f>'App 4 - Recyclables'!W81</f>
        <v>856.09</v>
      </c>
      <c r="H80" s="127">
        <f>'App 4 - Recyclables'!X81</f>
        <v>1.22</v>
      </c>
      <c r="I80" s="127">
        <f>'App 5 - Organics'!V80</f>
        <v>850.68000000000006</v>
      </c>
      <c r="J80" s="127">
        <f>'App 5 - Organics'!W80</f>
        <v>737.56000000000006</v>
      </c>
      <c r="K80" s="127">
        <f>'App 5 - Organics'!X80</f>
        <v>113.12</v>
      </c>
      <c r="L80" s="128">
        <f>'App 6 - Residual Waste'!AC80</f>
        <v>2650.4100000000003</v>
      </c>
      <c r="M80" s="128">
        <f>'App 6 - Residual Waste'!AD80</f>
        <v>0</v>
      </c>
      <c r="N80" s="128">
        <f>'App 6 - Residual Waste'!AE80</f>
        <v>2650.4100000000003</v>
      </c>
      <c r="O80" s="121"/>
      <c r="P80" s="128">
        <f t="shared" si="15"/>
        <v>4358.4000000000005</v>
      </c>
      <c r="Q80" s="128">
        <f t="shared" si="15"/>
        <v>1593.65</v>
      </c>
      <c r="R80" s="128">
        <f t="shared" si="15"/>
        <v>2764.7500000000005</v>
      </c>
      <c r="S80" s="129">
        <f t="shared" si="16"/>
        <v>0.36565023861967694</v>
      </c>
      <c r="U80" s="130">
        <f>(P80*1000)/'App 1 - Services'!F80/52</f>
        <v>6.5109441944678501</v>
      </c>
      <c r="V80" s="130">
        <f>(P80*1000)/'App 1 - Services'!G80/52</f>
        <v>13.180592013741883</v>
      </c>
      <c r="X80" s="131">
        <f t="shared" si="17"/>
        <v>0.36565023861967694</v>
      </c>
      <c r="Y80" s="132">
        <f t="shared" si="18"/>
        <v>857.31000000000006</v>
      </c>
      <c r="Z80" s="133">
        <f t="shared" si="19"/>
        <v>0.19670291850220264</v>
      </c>
      <c r="AA80" s="132">
        <f t="shared" si="20"/>
        <v>850.68000000000006</v>
      </c>
      <c r="AB80" s="133">
        <f t="shared" si="21"/>
        <v>0.195181718061674</v>
      </c>
      <c r="AC80" s="132">
        <f t="shared" si="22"/>
        <v>2650.4100000000003</v>
      </c>
      <c r="AD80" s="133">
        <f t="shared" si="23"/>
        <v>0.60811536343612338</v>
      </c>
      <c r="AF80" s="127">
        <f>'App 4 - Recyclables'!V81+'App 4 - Recyclables'!AB81</f>
        <v>857.31000000000006</v>
      </c>
      <c r="AG80" s="127">
        <f>'App 4 - Recyclables'!W81+'App 4 - Recyclables'!AC81</f>
        <v>856.09</v>
      </c>
      <c r="AH80" s="127">
        <f>'App 4 - Recyclables'!X81+'App 4 - Recyclables'!AD81</f>
        <v>1.22</v>
      </c>
      <c r="AI80" s="127">
        <f>'App 5 - Organics'!V80+'App 5 - Organics'!AD80</f>
        <v>1115.68</v>
      </c>
      <c r="AJ80" s="127">
        <f>'App 5 - Organics'!W80+'App 5 - Organics'!AE80</f>
        <v>1002.5600000000001</v>
      </c>
      <c r="AK80" s="127">
        <f>'App 5 - Organics'!X80+'App 5 - Organics'!AF80</f>
        <v>113.12</v>
      </c>
      <c r="AL80" s="128">
        <f>'App 6 - Residual Waste'!AC80+'App 6 - Residual Waste'!AI80</f>
        <v>4964.41</v>
      </c>
      <c r="AM80" s="128">
        <f>'App 6 - Residual Waste'!AD80+'App 6 - Residual Waste'!AJ80</f>
        <v>783</v>
      </c>
      <c r="AN80" s="128">
        <f>'App 6 - Residual Waste'!AE80+'App 6 - Residual Waste'!AK80</f>
        <v>4181.41</v>
      </c>
      <c r="AO80" s="121"/>
      <c r="AP80" s="128">
        <f t="shared" si="24"/>
        <v>6937.4</v>
      </c>
      <c r="AQ80" s="128">
        <f t="shared" si="25"/>
        <v>2641.65</v>
      </c>
      <c r="AR80" s="128">
        <f t="shared" si="26"/>
        <v>4295.75</v>
      </c>
      <c r="AS80" s="129">
        <f t="shared" si="27"/>
        <v>0.38078386715484192</v>
      </c>
    </row>
    <row r="81" spans="1:45" ht="15.75" x14ac:dyDescent="0.25">
      <c r="A81" s="8">
        <v>15350</v>
      </c>
      <c r="B81" s="8" t="s">
        <v>133</v>
      </c>
      <c r="C81" s="8" t="s">
        <v>24</v>
      </c>
      <c r="D81" s="29" t="s">
        <v>2</v>
      </c>
      <c r="E81" s="126"/>
      <c r="F81" s="127">
        <f>'App 4 - Recyclables'!V82</f>
        <v>2450.46</v>
      </c>
      <c r="G81" s="127">
        <f>'App 4 - Recyclables'!W82</f>
        <v>2450.46</v>
      </c>
      <c r="H81" s="127">
        <f>'App 4 - Recyclables'!X82</f>
        <v>0</v>
      </c>
      <c r="I81" s="127">
        <f>'App 5 - Organics'!V81</f>
        <v>1932</v>
      </c>
      <c r="J81" s="127">
        <f>'App 5 - Organics'!W81</f>
        <v>1932</v>
      </c>
      <c r="K81" s="127">
        <f>'App 5 - Organics'!X81</f>
        <v>0</v>
      </c>
      <c r="L81" s="128">
        <f>'App 6 - Residual Waste'!AC81</f>
        <v>6459</v>
      </c>
      <c r="M81" s="128">
        <f>'App 6 - Residual Waste'!AD81</f>
        <v>0</v>
      </c>
      <c r="N81" s="128">
        <f>'App 6 - Residual Waste'!AE81</f>
        <v>6459</v>
      </c>
      <c r="O81" s="121"/>
      <c r="P81" s="128">
        <f t="shared" si="15"/>
        <v>10841.46</v>
      </c>
      <c r="Q81" s="128">
        <f t="shared" si="15"/>
        <v>4382.46</v>
      </c>
      <c r="R81" s="128">
        <f t="shared" si="15"/>
        <v>6459</v>
      </c>
      <c r="S81" s="129">
        <f t="shared" si="16"/>
        <v>0.40423153339125917</v>
      </c>
      <c r="U81" s="130">
        <f>(P81*1000)/'App 1 - Services'!F81/52</f>
        <v>7.1717386875104188</v>
      </c>
      <c r="V81" s="130">
        <f>(P81*1000)/'App 1 - Services'!G81/52</f>
        <v>15.617199654278306</v>
      </c>
      <c r="X81" s="131">
        <f t="shared" si="17"/>
        <v>0.40423153339125917</v>
      </c>
      <c r="Y81" s="132">
        <f t="shared" si="18"/>
        <v>2450.46</v>
      </c>
      <c r="Z81" s="133">
        <f t="shared" si="19"/>
        <v>0.22602675285432039</v>
      </c>
      <c r="AA81" s="132">
        <f t="shared" si="20"/>
        <v>1932</v>
      </c>
      <c r="AB81" s="133">
        <f t="shared" si="21"/>
        <v>0.17820478053693878</v>
      </c>
      <c r="AC81" s="132">
        <f t="shared" si="22"/>
        <v>6459</v>
      </c>
      <c r="AD81" s="133">
        <f t="shared" si="23"/>
        <v>0.59576846660874094</v>
      </c>
      <c r="AF81" s="127">
        <f>'App 4 - Recyclables'!V82+'App 4 - Recyclables'!AB82</f>
        <v>2450.46</v>
      </c>
      <c r="AG81" s="127">
        <f>'App 4 - Recyclables'!W82+'App 4 - Recyclables'!AC82</f>
        <v>2450.46</v>
      </c>
      <c r="AH81" s="127">
        <f>'App 4 - Recyclables'!X82+'App 4 - Recyclables'!AD82</f>
        <v>0</v>
      </c>
      <c r="AI81" s="127">
        <f>'App 5 - Organics'!V81+'App 5 - Organics'!AD81</f>
        <v>2515</v>
      </c>
      <c r="AJ81" s="127">
        <f>'App 5 - Organics'!W81+'App 5 - Organics'!AE81</f>
        <v>2515</v>
      </c>
      <c r="AK81" s="127">
        <f>'App 5 - Organics'!X81+'App 5 - Organics'!AF81</f>
        <v>0</v>
      </c>
      <c r="AL81" s="128">
        <f>'App 6 - Residual Waste'!AC81+'App 6 - Residual Waste'!AI81</f>
        <v>6494</v>
      </c>
      <c r="AM81" s="128">
        <f>'App 6 - Residual Waste'!AD81+'App 6 - Residual Waste'!AJ81</f>
        <v>0</v>
      </c>
      <c r="AN81" s="128">
        <f>'App 6 - Residual Waste'!AE81+'App 6 - Residual Waste'!AK81</f>
        <v>6494</v>
      </c>
      <c r="AO81" s="121"/>
      <c r="AP81" s="128">
        <f t="shared" si="24"/>
        <v>11459.46</v>
      </c>
      <c r="AQ81" s="128">
        <f t="shared" si="25"/>
        <v>4965.46</v>
      </c>
      <c r="AR81" s="128">
        <f t="shared" si="26"/>
        <v>6494</v>
      </c>
      <c r="AS81" s="129">
        <f t="shared" si="27"/>
        <v>0.43330663050440427</v>
      </c>
    </row>
    <row r="82" spans="1:45" ht="15.75" x14ac:dyDescent="0.25">
      <c r="A82" s="8">
        <v>15520</v>
      </c>
      <c r="B82" s="8" t="s">
        <v>134</v>
      </c>
      <c r="C82" s="8" t="s">
        <v>66</v>
      </c>
      <c r="D82" s="29" t="s">
        <v>1</v>
      </c>
      <c r="E82" s="126"/>
      <c r="F82" s="127">
        <f>'App 4 - Recyclables'!V83</f>
        <v>2212.64</v>
      </c>
      <c r="G82" s="127">
        <f>'App 4 - Recyclables'!W83</f>
        <v>2212.64</v>
      </c>
      <c r="H82" s="127">
        <f>'App 4 - Recyclables'!X83</f>
        <v>0</v>
      </c>
      <c r="I82" s="127">
        <f>'App 5 - Organics'!V82</f>
        <v>1456</v>
      </c>
      <c r="J82" s="127">
        <f>'App 5 - Organics'!W82</f>
        <v>1456</v>
      </c>
      <c r="K82" s="127">
        <f>'App 5 - Organics'!X82</f>
        <v>0</v>
      </c>
      <c r="L82" s="128">
        <f>'App 6 - Residual Waste'!AC82</f>
        <v>2388</v>
      </c>
      <c r="M82" s="128">
        <f>'App 6 - Residual Waste'!AD82</f>
        <v>0</v>
      </c>
      <c r="N82" s="128">
        <f>'App 6 - Residual Waste'!AE82</f>
        <v>2388</v>
      </c>
      <c r="O82" s="121"/>
      <c r="P82" s="128">
        <f t="shared" si="15"/>
        <v>6056.6399999999994</v>
      </c>
      <c r="Q82" s="128">
        <f t="shared" si="15"/>
        <v>3668.64</v>
      </c>
      <c r="R82" s="128">
        <f t="shared" si="15"/>
        <v>2388</v>
      </c>
      <c r="S82" s="129">
        <f t="shared" si="16"/>
        <v>0.60572198446663505</v>
      </c>
      <c r="U82" s="130">
        <f>(P82*1000)/'App 1 - Services'!F82/52</f>
        <v>8.7403456516468658</v>
      </c>
      <c r="V82" s="130">
        <f>(P82*1000)/'App 1 - Services'!G82/52</f>
        <v>13.073728381843768</v>
      </c>
      <c r="X82" s="131">
        <f t="shared" si="17"/>
        <v>0.60572198446663505</v>
      </c>
      <c r="Y82" s="132">
        <f t="shared" si="18"/>
        <v>2212.64</v>
      </c>
      <c r="Z82" s="133">
        <f t="shared" si="19"/>
        <v>0.36532466846304223</v>
      </c>
      <c r="AA82" s="132">
        <f t="shared" si="20"/>
        <v>1456</v>
      </c>
      <c r="AB82" s="133">
        <f t="shared" si="21"/>
        <v>0.24039731600359276</v>
      </c>
      <c r="AC82" s="132">
        <f t="shared" si="22"/>
        <v>2388</v>
      </c>
      <c r="AD82" s="133">
        <f t="shared" si="23"/>
        <v>0.39427801553336506</v>
      </c>
      <c r="AF82" s="127">
        <f>'App 4 - Recyclables'!V83+'App 4 - Recyclables'!AB83</f>
        <v>2212.64</v>
      </c>
      <c r="AG82" s="127">
        <f>'App 4 - Recyclables'!W83+'App 4 - Recyclables'!AC83</f>
        <v>2212.64</v>
      </c>
      <c r="AH82" s="127">
        <f>'App 4 - Recyclables'!X83+'App 4 - Recyclables'!AD83</f>
        <v>0</v>
      </c>
      <c r="AI82" s="127">
        <f>'App 5 - Organics'!V82+'App 5 - Organics'!AD82</f>
        <v>1456</v>
      </c>
      <c r="AJ82" s="127">
        <f>'App 5 - Organics'!W82+'App 5 - Organics'!AE82</f>
        <v>1456</v>
      </c>
      <c r="AK82" s="127">
        <f>'App 5 - Organics'!X82+'App 5 - Organics'!AF82</f>
        <v>0</v>
      </c>
      <c r="AL82" s="128">
        <f>'App 6 - Residual Waste'!AC82+'App 6 - Residual Waste'!AI82</f>
        <v>2388</v>
      </c>
      <c r="AM82" s="128">
        <f>'App 6 - Residual Waste'!AD82+'App 6 - Residual Waste'!AJ82</f>
        <v>0</v>
      </c>
      <c r="AN82" s="128">
        <f>'App 6 - Residual Waste'!AE82+'App 6 - Residual Waste'!AK82</f>
        <v>2388</v>
      </c>
      <c r="AO82" s="121"/>
      <c r="AP82" s="128">
        <f t="shared" si="24"/>
        <v>6056.6399999999994</v>
      </c>
      <c r="AQ82" s="128">
        <f t="shared" si="25"/>
        <v>3668.64</v>
      </c>
      <c r="AR82" s="128">
        <f t="shared" si="26"/>
        <v>2388</v>
      </c>
      <c r="AS82" s="129">
        <f t="shared" si="27"/>
        <v>0.60572198446663505</v>
      </c>
    </row>
    <row r="83" spans="1:45" ht="15.75" x14ac:dyDescent="0.25">
      <c r="A83" s="8">
        <v>15560</v>
      </c>
      <c r="B83" s="8" t="s">
        <v>135</v>
      </c>
      <c r="C83" s="8" t="s">
        <v>68</v>
      </c>
      <c r="D83" s="29" t="s">
        <v>1</v>
      </c>
      <c r="E83" s="126"/>
      <c r="F83" s="127">
        <f>'App 4 - Recyclables'!V84</f>
        <v>135.18</v>
      </c>
      <c r="G83" s="127">
        <f>'App 4 - Recyclables'!W84</f>
        <v>99.68</v>
      </c>
      <c r="H83" s="127">
        <f>'App 4 - Recyclables'!X84</f>
        <v>35.5</v>
      </c>
      <c r="I83" s="127">
        <f>'App 5 - Organics'!V83</f>
        <v>301.5</v>
      </c>
      <c r="J83" s="127">
        <f>'App 5 - Organics'!W83</f>
        <v>50</v>
      </c>
      <c r="K83" s="127">
        <f>'App 5 - Organics'!X83</f>
        <v>251.5</v>
      </c>
      <c r="L83" s="128">
        <f>'App 6 - Residual Waste'!AC83</f>
        <v>982</v>
      </c>
      <c r="M83" s="128">
        <f>'App 6 - Residual Waste'!AD83</f>
        <v>315</v>
      </c>
      <c r="N83" s="128">
        <f>'App 6 - Residual Waste'!AE83</f>
        <v>667</v>
      </c>
      <c r="O83" s="121"/>
      <c r="P83" s="128">
        <f t="shared" si="15"/>
        <v>1418.68</v>
      </c>
      <c r="Q83" s="128">
        <f t="shared" si="15"/>
        <v>464.68</v>
      </c>
      <c r="R83" s="128">
        <f t="shared" si="15"/>
        <v>954</v>
      </c>
      <c r="S83" s="129">
        <f t="shared" si="16"/>
        <v>0.32754391406095806</v>
      </c>
      <c r="U83" s="130">
        <f>(P83*1000)/'App 1 - Services'!F83/52</f>
        <v>7.5637115864451605</v>
      </c>
      <c r="V83" s="130">
        <f>(P83*1000)/'App 1 - Services'!G83/52</f>
        <v>11.29702181876095</v>
      </c>
      <c r="X83" s="131">
        <f t="shared" si="17"/>
        <v>0.32754391406095806</v>
      </c>
      <c r="Y83" s="132">
        <f t="shared" si="18"/>
        <v>135.18</v>
      </c>
      <c r="Z83" s="133">
        <f t="shared" si="19"/>
        <v>9.5285758592494427E-2</v>
      </c>
      <c r="AA83" s="132">
        <f t="shared" si="20"/>
        <v>301.5</v>
      </c>
      <c r="AB83" s="133">
        <f t="shared" si="21"/>
        <v>0.21252149885809343</v>
      </c>
      <c r="AC83" s="132">
        <f t="shared" si="22"/>
        <v>982</v>
      </c>
      <c r="AD83" s="133">
        <f t="shared" si="23"/>
        <v>0.6921927425494121</v>
      </c>
      <c r="AF83" s="127">
        <f>'App 4 - Recyclables'!V84+'App 4 - Recyclables'!AB84</f>
        <v>135.18</v>
      </c>
      <c r="AG83" s="127">
        <f>'App 4 - Recyclables'!W84+'App 4 - Recyclables'!AC84</f>
        <v>99.68</v>
      </c>
      <c r="AH83" s="127">
        <f>'App 4 - Recyclables'!X84+'App 4 - Recyclables'!AD84</f>
        <v>35.5</v>
      </c>
      <c r="AI83" s="127">
        <f>'App 5 - Organics'!V83+'App 5 - Organics'!AD83</f>
        <v>301.5</v>
      </c>
      <c r="AJ83" s="127">
        <f>'App 5 - Organics'!W83+'App 5 - Organics'!AE83</f>
        <v>50</v>
      </c>
      <c r="AK83" s="127">
        <f>'App 5 - Organics'!X83+'App 5 - Organics'!AF83</f>
        <v>251.5</v>
      </c>
      <c r="AL83" s="128">
        <f>'App 6 - Residual Waste'!AC83+'App 6 - Residual Waste'!AI83</f>
        <v>982</v>
      </c>
      <c r="AM83" s="128">
        <f>'App 6 - Residual Waste'!AD83+'App 6 - Residual Waste'!AJ83</f>
        <v>315</v>
      </c>
      <c r="AN83" s="128">
        <f>'App 6 - Residual Waste'!AE83+'App 6 - Residual Waste'!AK83</f>
        <v>667</v>
      </c>
      <c r="AO83" s="121"/>
      <c r="AP83" s="128">
        <f t="shared" si="24"/>
        <v>1418.68</v>
      </c>
      <c r="AQ83" s="128">
        <f t="shared" si="25"/>
        <v>464.68</v>
      </c>
      <c r="AR83" s="128">
        <f t="shared" si="26"/>
        <v>954</v>
      </c>
      <c r="AS83" s="129">
        <f t="shared" si="27"/>
        <v>0.32754391406095806</v>
      </c>
    </row>
    <row r="84" spans="1:45" ht="15.75" x14ac:dyDescent="0.25">
      <c r="A84" s="8">
        <v>15650</v>
      </c>
      <c r="B84" s="8" t="s">
        <v>136</v>
      </c>
      <c r="C84" s="8" t="s">
        <v>23</v>
      </c>
      <c r="D84" s="29" t="s">
        <v>3</v>
      </c>
      <c r="E84" s="126"/>
      <c r="F84" s="127">
        <f>'App 4 - Recyclables'!V85</f>
        <v>2168.2600000000002</v>
      </c>
      <c r="G84" s="127">
        <f>'App 4 - Recyclables'!W85</f>
        <v>2056.13</v>
      </c>
      <c r="H84" s="127">
        <f>'App 4 - Recyclables'!X85</f>
        <v>112.13</v>
      </c>
      <c r="I84" s="127">
        <f>'App 5 - Organics'!V84</f>
        <v>2128.58</v>
      </c>
      <c r="J84" s="127">
        <f>'App 5 - Organics'!W84</f>
        <v>2050.0700000000002</v>
      </c>
      <c r="K84" s="127">
        <f>'App 5 - Organics'!X84</f>
        <v>78.510000000000005</v>
      </c>
      <c r="L84" s="128">
        <f>'App 6 - Residual Waste'!AC84</f>
        <v>4997.4800000000005</v>
      </c>
      <c r="M84" s="128">
        <f>'App 6 - Residual Waste'!AD84</f>
        <v>147</v>
      </c>
      <c r="N84" s="128">
        <f>'App 6 - Residual Waste'!AE84</f>
        <v>4850.4800000000005</v>
      </c>
      <c r="O84" s="121"/>
      <c r="P84" s="128">
        <f t="shared" si="15"/>
        <v>9294.32</v>
      </c>
      <c r="Q84" s="128">
        <f t="shared" si="15"/>
        <v>4253.2000000000007</v>
      </c>
      <c r="R84" s="128">
        <f t="shared" si="15"/>
        <v>5041.1200000000008</v>
      </c>
      <c r="S84" s="129">
        <f t="shared" si="16"/>
        <v>0.45761282159426414</v>
      </c>
      <c r="U84" s="130">
        <f>(P84*1000)/'App 1 - Services'!F84/52</f>
        <v>10.653052990637924</v>
      </c>
      <c r="V84" s="130">
        <f>(P84*1000)/'App 1 - Services'!G84/52</f>
        <v>21.704544393068982</v>
      </c>
      <c r="X84" s="131">
        <f t="shared" si="17"/>
        <v>0.45761282159426414</v>
      </c>
      <c r="Y84" s="132">
        <f t="shared" si="18"/>
        <v>2168.2600000000002</v>
      </c>
      <c r="Z84" s="133">
        <f t="shared" si="19"/>
        <v>0.233288718270944</v>
      </c>
      <c r="AA84" s="132">
        <f t="shared" si="20"/>
        <v>2128.58</v>
      </c>
      <c r="AB84" s="133">
        <f t="shared" si="21"/>
        <v>0.22901944413362138</v>
      </c>
      <c r="AC84" s="132">
        <f t="shared" si="22"/>
        <v>4997.4800000000005</v>
      </c>
      <c r="AD84" s="133">
        <f t="shared" si="23"/>
        <v>0.53769183759543471</v>
      </c>
      <c r="AF84" s="127">
        <f>'App 4 - Recyclables'!V85+'App 4 - Recyclables'!AB85</f>
        <v>2168.2600000000002</v>
      </c>
      <c r="AG84" s="127">
        <f>'App 4 - Recyclables'!W85+'App 4 - Recyclables'!AC85</f>
        <v>2056.13</v>
      </c>
      <c r="AH84" s="127">
        <f>'App 4 - Recyclables'!X85+'App 4 - Recyclables'!AD85</f>
        <v>112.13</v>
      </c>
      <c r="AI84" s="127">
        <f>'App 5 - Organics'!V84+'App 5 - Organics'!AD84</f>
        <v>2213.34</v>
      </c>
      <c r="AJ84" s="127">
        <f>'App 5 - Organics'!W84+'App 5 - Organics'!AE84</f>
        <v>2134.8300000000004</v>
      </c>
      <c r="AK84" s="127">
        <f>'App 5 - Organics'!X84+'App 5 - Organics'!AF84</f>
        <v>78.510000000000005</v>
      </c>
      <c r="AL84" s="128">
        <f>'App 6 - Residual Waste'!AC84+'App 6 - Residual Waste'!AI84</f>
        <v>6636.02</v>
      </c>
      <c r="AM84" s="128">
        <f>'App 6 - Residual Waste'!AD84+'App 6 - Residual Waste'!AJ84</f>
        <v>147</v>
      </c>
      <c r="AN84" s="128">
        <f>'App 6 - Residual Waste'!AE84+'App 6 - Residual Waste'!AK84</f>
        <v>6489.02</v>
      </c>
      <c r="AO84" s="121"/>
      <c r="AP84" s="128">
        <f t="shared" si="24"/>
        <v>11017.62</v>
      </c>
      <c r="AQ84" s="128">
        <f t="shared" si="25"/>
        <v>4337.9600000000009</v>
      </c>
      <c r="AR84" s="128">
        <f t="shared" si="26"/>
        <v>6679.6600000000008</v>
      </c>
      <c r="AS84" s="129">
        <f t="shared" si="27"/>
        <v>0.39372931722096066</v>
      </c>
    </row>
    <row r="85" spans="1:45" ht="15.75" x14ac:dyDescent="0.25">
      <c r="A85" s="8">
        <v>15700</v>
      </c>
      <c r="B85" s="8" t="s">
        <v>54</v>
      </c>
      <c r="C85" s="8" t="s">
        <v>39</v>
      </c>
      <c r="D85" s="29" t="s">
        <v>3</v>
      </c>
      <c r="E85" s="126"/>
      <c r="F85" s="127">
        <f>'App 4 - Recyclables'!V86</f>
        <v>3322.87</v>
      </c>
      <c r="G85" s="127">
        <f>'App 4 - Recyclables'!W86</f>
        <v>3322.87</v>
      </c>
      <c r="H85" s="127">
        <f>'App 4 - Recyclables'!X86</f>
        <v>0</v>
      </c>
      <c r="I85" s="127">
        <f>'App 5 - Organics'!V85</f>
        <v>3053</v>
      </c>
      <c r="J85" s="127">
        <f>'App 5 - Organics'!W85</f>
        <v>3053</v>
      </c>
      <c r="K85" s="127">
        <f>'App 5 - Organics'!X85</f>
        <v>0</v>
      </c>
      <c r="L85" s="128">
        <f>'App 6 - Residual Waste'!AC85</f>
        <v>3925</v>
      </c>
      <c r="M85" s="128">
        <f>'App 6 - Residual Waste'!AD85</f>
        <v>0</v>
      </c>
      <c r="N85" s="128">
        <f>'App 6 - Residual Waste'!AE85</f>
        <v>3925</v>
      </c>
      <c r="O85" s="121"/>
      <c r="P85" s="128">
        <f t="shared" si="15"/>
        <v>10300.869999999999</v>
      </c>
      <c r="Q85" s="128">
        <f t="shared" si="15"/>
        <v>6375.87</v>
      </c>
      <c r="R85" s="128">
        <f t="shared" si="15"/>
        <v>3925</v>
      </c>
      <c r="S85" s="129">
        <f t="shared" si="16"/>
        <v>0.6189642234102557</v>
      </c>
      <c r="U85" s="130">
        <f>(P85*1000)/'App 1 - Services'!F85/52</f>
        <v>9.5356529241433421</v>
      </c>
      <c r="V85" s="130">
        <f>(P85*1000)/'App 1 - Services'!G85/52</f>
        <v>18.150417248135771</v>
      </c>
      <c r="X85" s="131">
        <f t="shared" si="17"/>
        <v>0.6189642234102557</v>
      </c>
      <c r="Y85" s="132">
        <f t="shared" si="18"/>
        <v>3322.87</v>
      </c>
      <c r="Z85" s="133">
        <f t="shared" si="19"/>
        <v>0.32258149068962139</v>
      </c>
      <c r="AA85" s="132">
        <f t="shared" si="20"/>
        <v>3053</v>
      </c>
      <c r="AB85" s="133">
        <f t="shared" si="21"/>
        <v>0.29638273272063431</v>
      </c>
      <c r="AC85" s="132">
        <f t="shared" si="22"/>
        <v>3925</v>
      </c>
      <c r="AD85" s="133">
        <f t="shared" si="23"/>
        <v>0.38103577658974441</v>
      </c>
      <c r="AF85" s="127">
        <f>'App 4 - Recyclables'!V86+'App 4 - Recyclables'!AB86</f>
        <v>3322.87</v>
      </c>
      <c r="AG85" s="127">
        <f>'App 4 - Recyclables'!W86+'App 4 - Recyclables'!AC86</f>
        <v>3322.87</v>
      </c>
      <c r="AH85" s="127">
        <f>'App 4 - Recyclables'!X86+'App 4 - Recyclables'!AD86</f>
        <v>0</v>
      </c>
      <c r="AI85" s="127">
        <f>'App 5 - Organics'!V85+'App 5 - Organics'!AD85</f>
        <v>3053</v>
      </c>
      <c r="AJ85" s="127">
        <f>'App 5 - Organics'!W85+'App 5 - Organics'!AE85</f>
        <v>3053</v>
      </c>
      <c r="AK85" s="127">
        <f>'App 5 - Organics'!X85+'App 5 - Organics'!AF85</f>
        <v>0</v>
      </c>
      <c r="AL85" s="128">
        <f>'App 6 - Residual Waste'!AC85+'App 6 - Residual Waste'!AI85</f>
        <v>3925</v>
      </c>
      <c r="AM85" s="128">
        <f>'App 6 - Residual Waste'!AD85+'App 6 - Residual Waste'!AJ85</f>
        <v>0</v>
      </c>
      <c r="AN85" s="128">
        <f>'App 6 - Residual Waste'!AE85+'App 6 - Residual Waste'!AK85</f>
        <v>3925</v>
      </c>
      <c r="AO85" s="121"/>
      <c r="AP85" s="128">
        <f t="shared" si="24"/>
        <v>10300.869999999999</v>
      </c>
      <c r="AQ85" s="128">
        <f t="shared" si="25"/>
        <v>6375.87</v>
      </c>
      <c r="AR85" s="128">
        <f t="shared" si="26"/>
        <v>3925</v>
      </c>
      <c r="AS85" s="129">
        <f t="shared" si="27"/>
        <v>0.6189642234102557</v>
      </c>
    </row>
    <row r="86" spans="1:45" ht="15.75" x14ac:dyDescent="0.25">
      <c r="A86" s="8">
        <v>15750</v>
      </c>
      <c r="B86" s="8" t="s">
        <v>137</v>
      </c>
      <c r="C86" s="8" t="s">
        <v>16</v>
      </c>
      <c r="D86" s="29" t="s">
        <v>1</v>
      </c>
      <c r="E86" s="126"/>
      <c r="F86" s="127">
        <f>'App 4 - Recyclables'!V87</f>
        <v>1853.6200000000001</v>
      </c>
      <c r="G86" s="127">
        <f>'App 4 - Recyclables'!W87</f>
        <v>1853.6200000000001</v>
      </c>
      <c r="H86" s="127">
        <f>'App 4 - Recyclables'!X87</f>
        <v>0</v>
      </c>
      <c r="I86" s="127">
        <f>'App 5 - Organics'!V86</f>
        <v>1709.8400000000001</v>
      </c>
      <c r="J86" s="127">
        <f>'App 5 - Organics'!W86</f>
        <v>1709.8400000000001</v>
      </c>
      <c r="K86" s="127">
        <f>'App 5 - Organics'!X86</f>
        <v>0</v>
      </c>
      <c r="L86" s="128">
        <f>'App 6 - Residual Waste'!AC86</f>
        <v>4656.630000000001</v>
      </c>
      <c r="M86" s="128">
        <f>'App 6 - Residual Waste'!AD86</f>
        <v>372.67000000000007</v>
      </c>
      <c r="N86" s="128">
        <f>'App 6 - Residual Waste'!AE86</f>
        <v>4283.9600000000009</v>
      </c>
      <c r="O86" s="121"/>
      <c r="P86" s="128">
        <f t="shared" si="15"/>
        <v>8220.09</v>
      </c>
      <c r="Q86" s="128">
        <f t="shared" si="15"/>
        <v>3936.13</v>
      </c>
      <c r="R86" s="128">
        <f t="shared" si="15"/>
        <v>4283.9600000000009</v>
      </c>
      <c r="S86" s="129">
        <f t="shared" si="16"/>
        <v>0.4788426890703143</v>
      </c>
      <c r="U86" s="130">
        <f>(P86*1000)/'App 1 - Services'!F86/52</f>
        <v>12.394437340924718</v>
      </c>
      <c r="V86" s="130">
        <f>(P86*1000)/'App 1 - Services'!G86/52</f>
        <v>22.883418333259097</v>
      </c>
      <c r="X86" s="131">
        <f t="shared" si="17"/>
        <v>0.4788426890703143</v>
      </c>
      <c r="Y86" s="132">
        <f t="shared" si="18"/>
        <v>1853.6200000000001</v>
      </c>
      <c r="Z86" s="133">
        <f t="shared" si="19"/>
        <v>0.2254987475806226</v>
      </c>
      <c r="AA86" s="132">
        <f t="shared" si="20"/>
        <v>1709.8400000000001</v>
      </c>
      <c r="AB86" s="133">
        <f t="shared" si="21"/>
        <v>0.2080074549062115</v>
      </c>
      <c r="AC86" s="132">
        <f t="shared" si="22"/>
        <v>4656.630000000001</v>
      </c>
      <c r="AD86" s="133">
        <f t="shared" si="23"/>
        <v>0.56649379751316598</v>
      </c>
      <c r="AF86" s="127">
        <f>'App 4 - Recyclables'!V87+'App 4 - Recyclables'!AB87</f>
        <v>1853.6200000000001</v>
      </c>
      <c r="AG86" s="127">
        <f>'App 4 - Recyclables'!W87+'App 4 - Recyclables'!AC87</f>
        <v>1853.6200000000001</v>
      </c>
      <c r="AH86" s="127">
        <f>'App 4 - Recyclables'!X87+'App 4 - Recyclables'!AD87</f>
        <v>0</v>
      </c>
      <c r="AI86" s="127">
        <f>'App 5 - Organics'!V86+'App 5 - Organics'!AD86</f>
        <v>1709.8400000000001</v>
      </c>
      <c r="AJ86" s="127">
        <f>'App 5 - Organics'!W86+'App 5 - Organics'!AE86</f>
        <v>1709.8400000000001</v>
      </c>
      <c r="AK86" s="127">
        <f>'App 5 - Organics'!X86+'App 5 - Organics'!AF86</f>
        <v>0</v>
      </c>
      <c r="AL86" s="128">
        <f>'App 6 - Residual Waste'!AC86+'App 6 - Residual Waste'!AI86</f>
        <v>4656.630000000001</v>
      </c>
      <c r="AM86" s="128">
        <f>'App 6 - Residual Waste'!AD86+'App 6 - Residual Waste'!AJ86</f>
        <v>372.67000000000007</v>
      </c>
      <c r="AN86" s="128">
        <f>'App 6 - Residual Waste'!AE86+'App 6 - Residual Waste'!AK86</f>
        <v>4283.9600000000009</v>
      </c>
      <c r="AO86" s="121"/>
      <c r="AP86" s="128">
        <f t="shared" si="24"/>
        <v>8220.09</v>
      </c>
      <c r="AQ86" s="128">
        <f t="shared" si="25"/>
        <v>3936.13</v>
      </c>
      <c r="AR86" s="128">
        <f t="shared" si="26"/>
        <v>4283.9600000000009</v>
      </c>
      <c r="AS86" s="129">
        <f t="shared" si="27"/>
        <v>0.4788426890703143</v>
      </c>
    </row>
    <row r="87" spans="1:45" ht="15.75" x14ac:dyDescent="0.25">
      <c r="A87" s="8">
        <v>15800</v>
      </c>
      <c r="B87" s="8" t="s">
        <v>138</v>
      </c>
      <c r="C87" s="8" t="s">
        <v>68</v>
      </c>
      <c r="D87" s="29" t="s">
        <v>1</v>
      </c>
      <c r="E87" s="126"/>
      <c r="F87" s="127">
        <f>'App 4 - Recyclables'!V88</f>
        <v>991.82999999999993</v>
      </c>
      <c r="G87" s="127">
        <f>'App 4 - Recyclables'!W88</f>
        <v>991.82999999999993</v>
      </c>
      <c r="H87" s="127">
        <f>'App 4 - Recyclables'!X88</f>
        <v>0</v>
      </c>
      <c r="I87" s="127">
        <f>'App 5 - Organics'!V87</f>
        <v>0</v>
      </c>
      <c r="J87" s="127">
        <f>'App 5 - Organics'!W87</f>
        <v>0</v>
      </c>
      <c r="K87" s="127">
        <f>'App 5 - Organics'!X87</f>
        <v>0</v>
      </c>
      <c r="L87" s="128">
        <f>'App 6 - Residual Waste'!AC87</f>
        <v>2678</v>
      </c>
      <c r="M87" s="128">
        <f>'App 6 - Residual Waste'!AD87</f>
        <v>0</v>
      </c>
      <c r="N87" s="128">
        <f>'App 6 - Residual Waste'!AE87</f>
        <v>2678</v>
      </c>
      <c r="O87" s="121"/>
      <c r="P87" s="128">
        <f t="shared" si="15"/>
        <v>3669.83</v>
      </c>
      <c r="Q87" s="128">
        <f t="shared" si="15"/>
        <v>991.82999999999993</v>
      </c>
      <c r="R87" s="128">
        <f t="shared" si="15"/>
        <v>2678</v>
      </c>
      <c r="S87" s="129">
        <f t="shared" si="16"/>
        <v>0.27026592512459702</v>
      </c>
      <c r="U87" s="130">
        <f>(P87*1000)/'App 1 - Services'!F87/52</f>
        <v>12.398744526731175</v>
      </c>
      <c r="V87" s="130">
        <f>(P87*1000)/'App 1 - Services'!G87/52</f>
        <v>33.086570016949764</v>
      </c>
      <c r="X87" s="131">
        <f t="shared" si="17"/>
        <v>0.27026592512459702</v>
      </c>
      <c r="Y87" s="132">
        <f t="shared" si="18"/>
        <v>991.82999999999993</v>
      </c>
      <c r="Z87" s="133">
        <f t="shared" si="19"/>
        <v>0.27026592512459702</v>
      </c>
      <c r="AA87" s="132">
        <f t="shared" si="20"/>
        <v>0</v>
      </c>
      <c r="AB87" s="133">
        <f t="shared" si="21"/>
        <v>0</v>
      </c>
      <c r="AC87" s="132">
        <f t="shared" si="22"/>
        <v>2678</v>
      </c>
      <c r="AD87" s="133">
        <f t="shared" si="23"/>
        <v>0.72973407487540298</v>
      </c>
      <c r="AF87" s="127">
        <f>'App 4 - Recyclables'!V88+'App 4 - Recyclables'!AB88</f>
        <v>991.82999999999993</v>
      </c>
      <c r="AG87" s="127">
        <f>'App 4 - Recyclables'!W88+'App 4 - Recyclables'!AC88</f>
        <v>991.82999999999993</v>
      </c>
      <c r="AH87" s="127">
        <f>'App 4 - Recyclables'!X88+'App 4 - Recyclables'!AD88</f>
        <v>0</v>
      </c>
      <c r="AI87" s="127">
        <f>'App 5 - Organics'!V87+'App 5 - Organics'!AD87</f>
        <v>0</v>
      </c>
      <c r="AJ87" s="127">
        <f>'App 5 - Organics'!W87+'App 5 - Organics'!AE87</f>
        <v>0</v>
      </c>
      <c r="AK87" s="127">
        <f>'App 5 - Organics'!X87+'App 5 - Organics'!AF87</f>
        <v>0</v>
      </c>
      <c r="AL87" s="128">
        <f>'App 6 - Residual Waste'!AC87+'App 6 - Residual Waste'!AI87</f>
        <v>2678</v>
      </c>
      <c r="AM87" s="128">
        <f>'App 6 - Residual Waste'!AD87+'App 6 - Residual Waste'!AJ87</f>
        <v>0</v>
      </c>
      <c r="AN87" s="128">
        <f>'App 6 - Residual Waste'!AE87+'App 6 - Residual Waste'!AK87</f>
        <v>2678</v>
      </c>
      <c r="AO87" s="121"/>
      <c r="AP87" s="128">
        <f t="shared" si="24"/>
        <v>3669.83</v>
      </c>
      <c r="AQ87" s="128">
        <f t="shared" si="25"/>
        <v>991.82999999999993</v>
      </c>
      <c r="AR87" s="128">
        <f t="shared" si="26"/>
        <v>2678</v>
      </c>
      <c r="AS87" s="129">
        <f t="shared" si="27"/>
        <v>0.27026592512459702</v>
      </c>
    </row>
    <row r="88" spans="1:45" ht="15.75" x14ac:dyDescent="0.25">
      <c r="A88" s="8">
        <v>15850</v>
      </c>
      <c r="B88" s="8" t="s">
        <v>139</v>
      </c>
      <c r="C88" s="8" t="s">
        <v>38</v>
      </c>
      <c r="D88" s="29" t="s">
        <v>1</v>
      </c>
      <c r="E88" s="126"/>
      <c r="F88" s="127">
        <f>'App 4 - Recyclables'!V89</f>
        <v>258.57</v>
      </c>
      <c r="G88" s="127">
        <f>'App 4 - Recyclables'!W89</f>
        <v>258.57</v>
      </c>
      <c r="H88" s="127">
        <f>'App 4 - Recyclables'!X89</f>
        <v>0</v>
      </c>
      <c r="I88" s="127">
        <f>'App 5 - Organics'!V88</f>
        <v>774.78</v>
      </c>
      <c r="J88" s="127">
        <f>'App 5 - Organics'!W88</f>
        <v>774.78</v>
      </c>
      <c r="K88" s="127">
        <f>'App 5 - Organics'!X88</f>
        <v>0</v>
      </c>
      <c r="L88" s="128">
        <f>'App 6 - Residual Waste'!AC88</f>
        <v>1304.44</v>
      </c>
      <c r="M88" s="128">
        <f>'App 6 - Residual Waste'!AD88</f>
        <v>0</v>
      </c>
      <c r="N88" s="128">
        <f>'App 6 - Residual Waste'!AE88</f>
        <v>1304.44</v>
      </c>
      <c r="O88" s="121"/>
      <c r="P88" s="128">
        <f t="shared" si="15"/>
        <v>2337.79</v>
      </c>
      <c r="Q88" s="128">
        <f t="shared" si="15"/>
        <v>1033.3499999999999</v>
      </c>
      <c r="R88" s="128">
        <f t="shared" si="15"/>
        <v>1304.44</v>
      </c>
      <c r="S88" s="129">
        <f t="shared" si="16"/>
        <v>0.44202002746183355</v>
      </c>
      <c r="U88" s="130">
        <f>(P88*1000)/'App 1 - Services'!F88/52</f>
        <v>6.9777277665683686</v>
      </c>
      <c r="V88" s="130">
        <f>(P88*1000)/'App 1 - Services'!G88/52</f>
        <v>13.122446001167543</v>
      </c>
      <c r="X88" s="131">
        <f t="shared" si="17"/>
        <v>0.44202002746183355</v>
      </c>
      <c r="Y88" s="132">
        <f t="shared" si="18"/>
        <v>258.57</v>
      </c>
      <c r="Z88" s="133">
        <f t="shared" si="19"/>
        <v>0.11060445976755824</v>
      </c>
      <c r="AA88" s="132">
        <f t="shared" si="20"/>
        <v>774.78</v>
      </c>
      <c r="AB88" s="133">
        <f t="shared" si="21"/>
        <v>0.33141556769427538</v>
      </c>
      <c r="AC88" s="132">
        <f t="shared" si="22"/>
        <v>1304.44</v>
      </c>
      <c r="AD88" s="133">
        <f t="shared" si="23"/>
        <v>0.55797997253816645</v>
      </c>
      <c r="AF88" s="127">
        <f>'App 4 - Recyclables'!V89+'App 4 - Recyclables'!AB89</f>
        <v>258.57</v>
      </c>
      <c r="AG88" s="127">
        <f>'App 4 - Recyclables'!W89+'App 4 - Recyclables'!AC89</f>
        <v>258.57</v>
      </c>
      <c r="AH88" s="127">
        <f>'App 4 - Recyclables'!X89+'App 4 - Recyclables'!AD89</f>
        <v>0</v>
      </c>
      <c r="AI88" s="127">
        <f>'App 5 - Organics'!V88+'App 5 - Organics'!AD88</f>
        <v>774.78</v>
      </c>
      <c r="AJ88" s="127">
        <f>'App 5 - Organics'!W88+'App 5 - Organics'!AE88</f>
        <v>774.78</v>
      </c>
      <c r="AK88" s="127">
        <f>'App 5 - Organics'!X88+'App 5 - Organics'!AF88</f>
        <v>0</v>
      </c>
      <c r="AL88" s="128">
        <f>'App 6 - Residual Waste'!AC88+'App 6 - Residual Waste'!AI88</f>
        <v>1304.44</v>
      </c>
      <c r="AM88" s="128">
        <f>'App 6 - Residual Waste'!AD88+'App 6 - Residual Waste'!AJ88</f>
        <v>0</v>
      </c>
      <c r="AN88" s="128">
        <f>'App 6 - Residual Waste'!AE88+'App 6 - Residual Waste'!AK88</f>
        <v>1304.44</v>
      </c>
      <c r="AO88" s="121"/>
      <c r="AP88" s="128">
        <f t="shared" si="24"/>
        <v>2337.79</v>
      </c>
      <c r="AQ88" s="128">
        <f t="shared" si="25"/>
        <v>1033.3499999999999</v>
      </c>
      <c r="AR88" s="128">
        <f t="shared" si="26"/>
        <v>1304.44</v>
      </c>
      <c r="AS88" s="129">
        <f t="shared" si="27"/>
        <v>0.44202002746183355</v>
      </c>
    </row>
    <row r="89" spans="1:45" ht="15.75" x14ac:dyDescent="0.25">
      <c r="A89" s="8">
        <v>15900</v>
      </c>
      <c r="B89" s="8" t="s">
        <v>140</v>
      </c>
      <c r="C89" s="8" t="s">
        <v>23</v>
      </c>
      <c r="D89" s="29" t="s">
        <v>2</v>
      </c>
      <c r="E89" s="126"/>
      <c r="F89" s="127">
        <f>'App 4 - Recyclables'!V90</f>
        <v>16583.57</v>
      </c>
      <c r="G89" s="127">
        <f>'App 4 - Recyclables'!W90</f>
        <v>14312.619999999999</v>
      </c>
      <c r="H89" s="127">
        <f>'App 4 - Recyclables'!X90</f>
        <v>2270.9499999999998</v>
      </c>
      <c r="I89" s="127">
        <f>'App 5 - Organics'!V89</f>
        <v>16278</v>
      </c>
      <c r="J89" s="127">
        <f>'App 5 - Organics'!W89</f>
        <v>16275.05</v>
      </c>
      <c r="K89" s="127">
        <f>'App 5 - Organics'!X89</f>
        <v>2.95</v>
      </c>
      <c r="L89" s="128">
        <f>'App 6 - Residual Waste'!AC89</f>
        <v>48681.37</v>
      </c>
      <c r="M89" s="128">
        <f>'App 6 - Residual Waste'!AD89</f>
        <v>1647</v>
      </c>
      <c r="N89" s="128">
        <f>'App 6 - Residual Waste'!AE89</f>
        <v>47034.37</v>
      </c>
      <c r="O89" s="121"/>
      <c r="P89" s="128">
        <f t="shared" si="15"/>
        <v>81542.94</v>
      </c>
      <c r="Q89" s="128">
        <f t="shared" si="15"/>
        <v>32234.67</v>
      </c>
      <c r="R89" s="128">
        <f t="shared" si="15"/>
        <v>49308.270000000004</v>
      </c>
      <c r="S89" s="129">
        <f t="shared" si="16"/>
        <v>0.39530914632217085</v>
      </c>
      <c r="U89" s="130">
        <f>(P89*1000)/'App 1 - Services'!F89/52</f>
        <v>8.9970593453501646</v>
      </c>
      <c r="V89" s="130">
        <f>(P89*1000)/'App 1 - Services'!G89/52</f>
        <v>21.062341663601536</v>
      </c>
      <c r="X89" s="131">
        <f t="shared" si="17"/>
        <v>0.39530914632217085</v>
      </c>
      <c r="Y89" s="132">
        <f t="shared" si="18"/>
        <v>16583.57</v>
      </c>
      <c r="Z89" s="133">
        <f t="shared" si="19"/>
        <v>0.20337223553627082</v>
      </c>
      <c r="AA89" s="132">
        <f t="shared" si="20"/>
        <v>16278</v>
      </c>
      <c r="AB89" s="133">
        <f t="shared" si="21"/>
        <v>0.19962488475397133</v>
      </c>
      <c r="AC89" s="132">
        <f t="shared" si="22"/>
        <v>48681.37</v>
      </c>
      <c r="AD89" s="133">
        <f t="shared" si="23"/>
        <v>0.59700287970975785</v>
      </c>
      <c r="AF89" s="127">
        <f>'App 4 - Recyclables'!V90+'App 4 - Recyclables'!AB90</f>
        <v>16583.57</v>
      </c>
      <c r="AG89" s="127">
        <f>'App 4 - Recyclables'!W90+'App 4 - Recyclables'!AC90</f>
        <v>14312.619999999999</v>
      </c>
      <c r="AH89" s="127">
        <f>'App 4 - Recyclables'!X90+'App 4 - Recyclables'!AD90</f>
        <v>2270.9499999999998</v>
      </c>
      <c r="AI89" s="127">
        <f>'App 5 - Organics'!V89+'App 5 - Organics'!AD89</f>
        <v>16278</v>
      </c>
      <c r="AJ89" s="127">
        <f>'App 5 - Organics'!W89+'App 5 - Organics'!AE89</f>
        <v>16275.05</v>
      </c>
      <c r="AK89" s="127">
        <f>'App 5 - Organics'!X89+'App 5 - Organics'!AF89</f>
        <v>2.95</v>
      </c>
      <c r="AL89" s="128">
        <f>'App 6 - Residual Waste'!AC89+'App 6 - Residual Waste'!AI89</f>
        <v>49317.37</v>
      </c>
      <c r="AM89" s="128">
        <f>'App 6 - Residual Waste'!AD89+'App 6 - Residual Waste'!AJ89</f>
        <v>1647</v>
      </c>
      <c r="AN89" s="128">
        <f>'App 6 - Residual Waste'!AE89+'App 6 - Residual Waste'!AK89</f>
        <v>47670.37</v>
      </c>
      <c r="AO89" s="121"/>
      <c r="AP89" s="128">
        <f t="shared" si="24"/>
        <v>82178.94</v>
      </c>
      <c r="AQ89" s="128">
        <f t="shared" si="25"/>
        <v>32234.67</v>
      </c>
      <c r="AR89" s="128">
        <f t="shared" si="26"/>
        <v>49944.270000000004</v>
      </c>
      <c r="AS89" s="129">
        <f t="shared" si="27"/>
        <v>0.39224976618097041</v>
      </c>
    </row>
    <row r="90" spans="1:45" ht="15.75" x14ac:dyDescent="0.25">
      <c r="A90" s="8">
        <v>15950</v>
      </c>
      <c r="B90" s="8" t="s">
        <v>55</v>
      </c>
      <c r="C90" s="8" t="s">
        <v>24</v>
      </c>
      <c r="D90" s="29" t="s">
        <v>2</v>
      </c>
      <c r="E90" s="126"/>
      <c r="F90" s="127">
        <f>'App 4 - Recyclables'!V91</f>
        <v>5778.18</v>
      </c>
      <c r="G90" s="127">
        <f>'App 4 - Recyclables'!W91</f>
        <v>5778.18</v>
      </c>
      <c r="H90" s="127">
        <f>'App 4 - Recyclables'!X91</f>
        <v>0</v>
      </c>
      <c r="I90" s="127">
        <f>'App 5 - Organics'!V90</f>
        <v>2022</v>
      </c>
      <c r="J90" s="127">
        <f>'App 5 - Organics'!W90</f>
        <v>2022</v>
      </c>
      <c r="K90" s="127">
        <f>'App 5 - Organics'!X90</f>
        <v>0</v>
      </c>
      <c r="L90" s="128">
        <f>'App 6 - Residual Waste'!AC90</f>
        <v>14128</v>
      </c>
      <c r="M90" s="128">
        <f>'App 6 - Residual Waste'!AD90</f>
        <v>0</v>
      </c>
      <c r="N90" s="128">
        <f>'App 6 - Residual Waste'!AE90</f>
        <v>14128</v>
      </c>
      <c r="O90" s="121"/>
      <c r="P90" s="128">
        <f t="shared" si="15"/>
        <v>21928.18</v>
      </c>
      <c r="Q90" s="128">
        <f t="shared" si="15"/>
        <v>7800.18</v>
      </c>
      <c r="R90" s="128">
        <f t="shared" si="15"/>
        <v>14128</v>
      </c>
      <c r="S90" s="129">
        <f t="shared" si="16"/>
        <v>0.35571488377056371</v>
      </c>
      <c r="U90" s="130">
        <f>(P90*1000)/'App 1 - Services'!F90/52</f>
        <v>5.8557470662755744</v>
      </c>
      <c r="V90" s="130">
        <f>(P90*1000)/'App 1 - Services'!G90/52</f>
        <v>10.32126120935872</v>
      </c>
      <c r="X90" s="131">
        <f t="shared" si="17"/>
        <v>0.35571488377056371</v>
      </c>
      <c r="Y90" s="132">
        <f t="shared" si="18"/>
        <v>5778.18</v>
      </c>
      <c r="Z90" s="133">
        <f t="shared" si="19"/>
        <v>0.26350476874961809</v>
      </c>
      <c r="AA90" s="132">
        <f t="shared" si="20"/>
        <v>2022</v>
      </c>
      <c r="AB90" s="133">
        <f t="shared" si="21"/>
        <v>9.2210115020945643E-2</v>
      </c>
      <c r="AC90" s="132">
        <f t="shared" si="22"/>
        <v>14128</v>
      </c>
      <c r="AD90" s="133">
        <f t="shared" si="23"/>
        <v>0.64428511622943629</v>
      </c>
      <c r="AF90" s="127">
        <f>'App 4 - Recyclables'!V91+'App 4 - Recyclables'!AB91</f>
        <v>5778.18</v>
      </c>
      <c r="AG90" s="127">
        <f>'App 4 - Recyclables'!W91+'App 4 - Recyclables'!AC91</f>
        <v>5778.18</v>
      </c>
      <c r="AH90" s="127">
        <f>'App 4 - Recyclables'!X91+'App 4 - Recyclables'!AD91</f>
        <v>0</v>
      </c>
      <c r="AI90" s="127">
        <f>'App 5 - Organics'!V90+'App 5 - Organics'!AD90</f>
        <v>2181</v>
      </c>
      <c r="AJ90" s="127">
        <f>'App 5 - Organics'!W90+'App 5 - Organics'!AE90</f>
        <v>2181</v>
      </c>
      <c r="AK90" s="127">
        <f>'App 5 - Organics'!X90+'App 5 - Organics'!AF90</f>
        <v>0</v>
      </c>
      <c r="AL90" s="128">
        <f>'App 6 - Residual Waste'!AC90+'App 6 - Residual Waste'!AI90</f>
        <v>14128</v>
      </c>
      <c r="AM90" s="128">
        <f>'App 6 - Residual Waste'!AD90+'App 6 - Residual Waste'!AJ90</f>
        <v>0</v>
      </c>
      <c r="AN90" s="128">
        <f>'App 6 - Residual Waste'!AE90+'App 6 - Residual Waste'!AK90</f>
        <v>14128</v>
      </c>
      <c r="AO90" s="121"/>
      <c r="AP90" s="128">
        <f t="shared" si="24"/>
        <v>22087.18</v>
      </c>
      <c r="AQ90" s="128">
        <f t="shared" si="25"/>
        <v>7959.18</v>
      </c>
      <c r="AR90" s="128">
        <f t="shared" si="26"/>
        <v>14128</v>
      </c>
      <c r="AS90" s="129">
        <f t="shared" si="27"/>
        <v>0.36035292871249297</v>
      </c>
    </row>
    <row r="91" spans="1:45" ht="15.75" x14ac:dyDescent="0.25">
      <c r="A91" s="8">
        <v>15990</v>
      </c>
      <c r="B91" s="8" t="s">
        <v>141</v>
      </c>
      <c r="C91" s="8"/>
      <c r="D91" s="29" t="s">
        <v>2</v>
      </c>
      <c r="E91" s="126"/>
      <c r="F91" s="127">
        <f>'App 4 - Recyclables'!V92</f>
        <v>23177.48</v>
      </c>
      <c r="G91" s="127">
        <f>'App 4 - Recyclables'!W92</f>
        <v>23177.48</v>
      </c>
      <c r="H91" s="127">
        <f>'App 4 - Recyclables'!X92</f>
        <v>0</v>
      </c>
      <c r="I91" s="127">
        <f>'App 5 - Organics'!V91</f>
        <v>29426.03</v>
      </c>
      <c r="J91" s="127">
        <f>'App 5 - Organics'!W91</f>
        <v>29426.03</v>
      </c>
      <c r="K91" s="127">
        <f>'App 5 - Organics'!X91</f>
        <v>0</v>
      </c>
      <c r="L91" s="128">
        <f>'App 6 - Residual Waste'!AC91</f>
        <v>55447.520000000004</v>
      </c>
      <c r="M91" s="128">
        <f>'App 6 - Residual Waste'!AD91</f>
        <v>19055.040000000005</v>
      </c>
      <c r="N91" s="128">
        <f>'App 6 - Residual Waste'!AE91</f>
        <v>36392.479999999996</v>
      </c>
      <c r="O91" s="121"/>
      <c r="P91" s="128">
        <f t="shared" si="15"/>
        <v>108051.03</v>
      </c>
      <c r="Q91" s="128">
        <f t="shared" si="15"/>
        <v>71658.55</v>
      </c>
      <c r="R91" s="128">
        <f t="shared" si="15"/>
        <v>36392.479999999996</v>
      </c>
      <c r="S91" s="129">
        <f t="shared" si="16"/>
        <v>0.66319173449804225</v>
      </c>
      <c r="U91" s="130">
        <f>(P91*1000)/'App 1 - Services'!F91/52</f>
        <v>7.7556608965960976</v>
      </c>
      <c r="V91" s="130">
        <f>(P91*1000)/'App 1 - Services'!G91/52</f>
        <v>17.64914487808894</v>
      </c>
      <c r="X91" s="131">
        <f t="shared" si="17"/>
        <v>0.66319173449804225</v>
      </c>
      <c r="Y91" s="132">
        <f t="shared" si="18"/>
        <v>23177.48</v>
      </c>
      <c r="Z91" s="133">
        <f t="shared" si="19"/>
        <v>0.2145049427108654</v>
      </c>
      <c r="AA91" s="132">
        <f t="shared" si="20"/>
        <v>29426.03</v>
      </c>
      <c r="AB91" s="133">
        <f t="shared" si="21"/>
        <v>0.27233456265988393</v>
      </c>
      <c r="AC91" s="132">
        <f t="shared" si="22"/>
        <v>55447.520000000004</v>
      </c>
      <c r="AD91" s="133">
        <f t="shared" si="23"/>
        <v>0.51316049462925073</v>
      </c>
      <c r="AF91" s="127">
        <f>'App 4 - Recyclables'!V92+'App 4 - Recyclables'!AB92</f>
        <v>23177.48</v>
      </c>
      <c r="AG91" s="127">
        <f>'App 4 - Recyclables'!W92+'App 4 - Recyclables'!AC92</f>
        <v>23177.48</v>
      </c>
      <c r="AH91" s="127">
        <f>'App 4 - Recyclables'!X92+'App 4 - Recyclables'!AD92</f>
        <v>0</v>
      </c>
      <c r="AI91" s="127">
        <f>'App 5 - Organics'!V91+'App 5 - Organics'!AD91</f>
        <v>30505.03</v>
      </c>
      <c r="AJ91" s="127">
        <f>'App 5 - Organics'!W91+'App 5 - Organics'!AE91</f>
        <v>30505.03</v>
      </c>
      <c r="AK91" s="127">
        <f>'App 5 - Organics'!X91+'App 5 - Organics'!AF91</f>
        <v>0</v>
      </c>
      <c r="AL91" s="128">
        <f>'App 6 - Residual Waste'!AC91+'App 6 - Residual Waste'!AI91</f>
        <v>55447.520000000004</v>
      </c>
      <c r="AM91" s="128">
        <f>'App 6 - Residual Waste'!AD91+'App 6 - Residual Waste'!AJ91</f>
        <v>19055.040000000005</v>
      </c>
      <c r="AN91" s="128">
        <f>'App 6 - Residual Waste'!AE91+'App 6 - Residual Waste'!AK91</f>
        <v>36392.479999999996</v>
      </c>
      <c r="AO91" s="121"/>
      <c r="AP91" s="128">
        <f t="shared" si="24"/>
        <v>109130.03</v>
      </c>
      <c r="AQ91" s="128">
        <f t="shared" si="25"/>
        <v>72737.55</v>
      </c>
      <c r="AR91" s="128">
        <f t="shared" si="26"/>
        <v>36392.479999999996</v>
      </c>
      <c r="AS91" s="129">
        <f t="shared" si="27"/>
        <v>0.66652185470855274</v>
      </c>
    </row>
    <row r="92" spans="1:45" ht="15.75" x14ac:dyDescent="0.25">
      <c r="A92" s="8">
        <v>16100</v>
      </c>
      <c r="B92" s="8" t="s">
        <v>142</v>
      </c>
      <c r="C92" s="8" t="s">
        <v>38</v>
      </c>
      <c r="D92" s="29" t="s">
        <v>1</v>
      </c>
      <c r="E92" s="126"/>
      <c r="F92" s="127">
        <f>'App 4 - Recyclables'!V93</f>
        <v>751.38</v>
      </c>
      <c r="G92" s="127">
        <f>'App 4 - Recyclables'!W93</f>
        <v>749.74</v>
      </c>
      <c r="H92" s="127">
        <f>'App 4 - Recyclables'!X93</f>
        <v>1.64</v>
      </c>
      <c r="I92" s="127">
        <f>'App 5 - Organics'!V92</f>
        <v>266.23</v>
      </c>
      <c r="J92" s="127">
        <f>'App 5 - Organics'!W92</f>
        <v>266.23</v>
      </c>
      <c r="K92" s="127">
        <f>'App 5 - Organics'!X92</f>
        <v>0</v>
      </c>
      <c r="L92" s="128">
        <f>'App 6 - Residual Waste'!AC92</f>
        <v>1468.7600000000002</v>
      </c>
      <c r="M92" s="128">
        <f>'App 6 - Residual Waste'!AD92</f>
        <v>0</v>
      </c>
      <c r="N92" s="128">
        <f>'App 6 - Residual Waste'!AE92</f>
        <v>1468.7600000000002</v>
      </c>
      <c r="O92" s="121"/>
      <c r="P92" s="128">
        <f t="shared" si="15"/>
        <v>2486.3700000000003</v>
      </c>
      <c r="Q92" s="128">
        <f t="shared" si="15"/>
        <v>1015.97</v>
      </c>
      <c r="R92" s="128">
        <f t="shared" si="15"/>
        <v>1470.4000000000003</v>
      </c>
      <c r="S92" s="129">
        <f t="shared" si="16"/>
        <v>0.40861577319546161</v>
      </c>
      <c r="U92" s="130">
        <f>(P92*1000)/'App 1 - Services'!F92/52</f>
        <v>8.5383585164835178</v>
      </c>
      <c r="V92" s="130">
        <f>(P92*1000)/'App 1 - Services'!G92/52</f>
        <v>12.57953372594257</v>
      </c>
      <c r="X92" s="131">
        <f t="shared" si="17"/>
        <v>0.40861577319546161</v>
      </c>
      <c r="Y92" s="132">
        <f t="shared" si="18"/>
        <v>751.38</v>
      </c>
      <c r="Z92" s="133">
        <f t="shared" si="19"/>
        <v>0.30219959217654646</v>
      </c>
      <c r="AA92" s="132">
        <f t="shared" si="20"/>
        <v>266.23</v>
      </c>
      <c r="AB92" s="133">
        <f t="shared" si="21"/>
        <v>0.10707577713695064</v>
      </c>
      <c r="AC92" s="132">
        <f t="shared" si="22"/>
        <v>1468.7600000000002</v>
      </c>
      <c r="AD92" s="133">
        <f t="shared" si="23"/>
        <v>0.59072463068650283</v>
      </c>
      <c r="AF92" s="127">
        <f>'App 4 - Recyclables'!V93+'App 4 - Recyclables'!AB93</f>
        <v>751.38</v>
      </c>
      <c r="AG92" s="127">
        <f>'App 4 - Recyclables'!W93+'App 4 - Recyclables'!AC93</f>
        <v>749.74</v>
      </c>
      <c r="AH92" s="127">
        <f>'App 4 - Recyclables'!X93+'App 4 - Recyclables'!AD93</f>
        <v>1.64</v>
      </c>
      <c r="AI92" s="127">
        <f>'App 5 - Organics'!V92+'App 5 - Organics'!AD92</f>
        <v>266.23</v>
      </c>
      <c r="AJ92" s="127">
        <f>'App 5 - Organics'!W92+'App 5 - Organics'!AE92</f>
        <v>266.23</v>
      </c>
      <c r="AK92" s="127">
        <f>'App 5 - Organics'!X92+'App 5 - Organics'!AF92</f>
        <v>0</v>
      </c>
      <c r="AL92" s="128">
        <f>'App 6 - Residual Waste'!AC92+'App 6 - Residual Waste'!AI92</f>
        <v>1468.7600000000002</v>
      </c>
      <c r="AM92" s="128">
        <f>'App 6 - Residual Waste'!AD92+'App 6 - Residual Waste'!AJ92</f>
        <v>0</v>
      </c>
      <c r="AN92" s="128">
        <f>'App 6 - Residual Waste'!AE92+'App 6 - Residual Waste'!AK92</f>
        <v>1468.7600000000002</v>
      </c>
      <c r="AO92" s="121"/>
      <c r="AP92" s="128">
        <f t="shared" si="24"/>
        <v>2486.3700000000003</v>
      </c>
      <c r="AQ92" s="128">
        <f t="shared" si="25"/>
        <v>1015.97</v>
      </c>
      <c r="AR92" s="128">
        <f t="shared" si="26"/>
        <v>1470.4000000000003</v>
      </c>
      <c r="AS92" s="129">
        <f t="shared" si="27"/>
        <v>0.40861577319546161</v>
      </c>
    </row>
    <row r="93" spans="1:45" ht="15.75" x14ac:dyDescent="0.25">
      <c r="A93" s="8">
        <v>16150</v>
      </c>
      <c r="B93" s="8" t="s">
        <v>143</v>
      </c>
      <c r="C93" s="8" t="s">
        <v>38</v>
      </c>
      <c r="D93" s="29" t="s">
        <v>1</v>
      </c>
      <c r="E93" s="126"/>
      <c r="F93" s="127">
        <f>'App 4 - Recyclables'!V94</f>
        <v>5206.8000000000011</v>
      </c>
      <c r="G93" s="127">
        <f>'App 4 - Recyclables'!W94</f>
        <v>5206.58</v>
      </c>
      <c r="H93" s="127">
        <f>'App 4 - Recyclables'!X94</f>
        <v>0.22</v>
      </c>
      <c r="I93" s="127">
        <f>'App 5 - Organics'!V93</f>
        <v>11215.34</v>
      </c>
      <c r="J93" s="127">
        <f>'App 5 - Organics'!W93</f>
        <v>11211.220000000001</v>
      </c>
      <c r="K93" s="127">
        <f>'App 5 - Organics'!X93</f>
        <v>4.12</v>
      </c>
      <c r="L93" s="128">
        <f>'App 6 - Residual Waste'!AC93</f>
        <v>20986.429999999997</v>
      </c>
      <c r="M93" s="128">
        <f>'App 6 - Residual Waste'!AD93</f>
        <v>30.039999999999054</v>
      </c>
      <c r="N93" s="128">
        <f>'App 6 - Residual Waste'!AE93</f>
        <v>20956.39</v>
      </c>
      <c r="O93" s="121"/>
      <c r="P93" s="128">
        <f t="shared" si="15"/>
        <v>37408.569999999992</v>
      </c>
      <c r="Q93" s="128">
        <f t="shared" si="15"/>
        <v>16447.840000000004</v>
      </c>
      <c r="R93" s="128">
        <f t="shared" si="15"/>
        <v>20960.73</v>
      </c>
      <c r="S93" s="129">
        <f t="shared" si="16"/>
        <v>0.43968106773394455</v>
      </c>
      <c r="U93" s="130">
        <f>(P93*1000)/'App 1 - Services'!F93/52</f>
        <v>16.259731871509736</v>
      </c>
      <c r="V93" s="130">
        <f>(P93*1000)/'App 1 - Services'!G93/52</f>
        <v>36.761999944967897</v>
      </c>
      <c r="X93" s="131">
        <f t="shared" si="17"/>
        <v>0.43968106773394455</v>
      </c>
      <c r="Y93" s="132">
        <f t="shared" si="18"/>
        <v>5206.8000000000011</v>
      </c>
      <c r="Z93" s="133">
        <f t="shared" si="19"/>
        <v>0.13918735733549831</v>
      </c>
      <c r="AA93" s="132">
        <f t="shared" si="20"/>
        <v>11215.34</v>
      </c>
      <c r="AB93" s="133">
        <f t="shared" si="21"/>
        <v>0.29980670204715132</v>
      </c>
      <c r="AC93" s="132">
        <f t="shared" si="22"/>
        <v>20986.429999999997</v>
      </c>
      <c r="AD93" s="133">
        <f t="shared" si="23"/>
        <v>0.56100594061735054</v>
      </c>
      <c r="AF93" s="127">
        <f>'App 4 - Recyclables'!V94+'App 4 - Recyclables'!AB94</f>
        <v>5206.8000000000011</v>
      </c>
      <c r="AG93" s="127">
        <f>'App 4 - Recyclables'!W94+'App 4 - Recyclables'!AC94</f>
        <v>5206.58</v>
      </c>
      <c r="AH93" s="127">
        <f>'App 4 - Recyclables'!X94+'App 4 - Recyclables'!AD94</f>
        <v>0.22</v>
      </c>
      <c r="AI93" s="127">
        <f>'App 5 - Organics'!V93+'App 5 - Organics'!AD93</f>
        <v>11239.62</v>
      </c>
      <c r="AJ93" s="127">
        <f>'App 5 - Organics'!W93+'App 5 - Organics'!AE93</f>
        <v>11235.500000000002</v>
      </c>
      <c r="AK93" s="127">
        <f>'App 5 - Organics'!X93+'App 5 - Organics'!AF93</f>
        <v>4.12</v>
      </c>
      <c r="AL93" s="128">
        <f>'App 6 - Residual Waste'!AC93+'App 6 - Residual Waste'!AI93</f>
        <v>22348.109999999997</v>
      </c>
      <c r="AM93" s="128">
        <f>'App 6 - Residual Waste'!AD93+'App 6 - Residual Waste'!AJ93</f>
        <v>783.71999999999912</v>
      </c>
      <c r="AN93" s="128">
        <f>'App 6 - Residual Waste'!AE93+'App 6 - Residual Waste'!AK93</f>
        <v>21564.39</v>
      </c>
      <c r="AO93" s="121"/>
      <c r="AP93" s="128">
        <f t="shared" si="24"/>
        <v>38794.53</v>
      </c>
      <c r="AQ93" s="128">
        <f t="shared" si="25"/>
        <v>17225.8</v>
      </c>
      <c r="AR93" s="128">
        <f t="shared" si="26"/>
        <v>21568.73</v>
      </c>
      <c r="AS93" s="129">
        <f t="shared" si="27"/>
        <v>0.44402651610935873</v>
      </c>
    </row>
    <row r="94" spans="1:45" ht="15.75" x14ac:dyDescent="0.25">
      <c r="A94" s="8">
        <v>16200</v>
      </c>
      <c r="B94" s="8" t="s">
        <v>144</v>
      </c>
      <c r="C94" s="8" t="s">
        <v>38</v>
      </c>
      <c r="D94" s="29" t="s">
        <v>1</v>
      </c>
      <c r="E94" s="126"/>
      <c r="F94" s="127">
        <f>'App 4 - Recyclables'!V95</f>
        <v>3691.95</v>
      </c>
      <c r="G94" s="127">
        <f>'App 4 - Recyclables'!W95</f>
        <v>3687.95</v>
      </c>
      <c r="H94" s="127">
        <f>'App 4 - Recyclables'!X95</f>
        <v>4</v>
      </c>
      <c r="I94" s="127">
        <f>'App 5 - Organics'!V94</f>
        <v>3403</v>
      </c>
      <c r="J94" s="127">
        <f>'App 5 - Organics'!W94</f>
        <v>3403</v>
      </c>
      <c r="K94" s="127">
        <f>'App 5 - Organics'!X94</f>
        <v>0</v>
      </c>
      <c r="L94" s="128">
        <f>'App 6 - Residual Waste'!AC94</f>
        <v>10926.27</v>
      </c>
      <c r="M94" s="128">
        <f>'App 6 - Residual Waste'!AD94</f>
        <v>10.100000000000364</v>
      </c>
      <c r="N94" s="128">
        <f>'App 6 - Residual Waste'!AE94</f>
        <v>10916.17</v>
      </c>
      <c r="O94" s="121"/>
      <c r="P94" s="128">
        <f t="shared" si="15"/>
        <v>18021.22</v>
      </c>
      <c r="Q94" s="128">
        <f t="shared" si="15"/>
        <v>7101.05</v>
      </c>
      <c r="R94" s="128">
        <f t="shared" si="15"/>
        <v>10920.17</v>
      </c>
      <c r="S94" s="129">
        <f t="shared" si="16"/>
        <v>0.39403825046251029</v>
      </c>
      <c r="U94" s="130">
        <f>(P94*1000)/'App 1 - Services'!F94/52</f>
        <v>24.309899205732538</v>
      </c>
      <c r="V94" s="130">
        <f>(P94*1000)/'App 1 - Services'!G94/52</f>
        <v>38.353466475976433</v>
      </c>
      <c r="X94" s="131">
        <f t="shared" si="17"/>
        <v>0.39403825046251029</v>
      </c>
      <c r="Y94" s="132">
        <f t="shared" si="18"/>
        <v>3691.95</v>
      </c>
      <c r="Z94" s="133">
        <f t="shared" si="19"/>
        <v>0.20486681811775226</v>
      </c>
      <c r="AA94" s="132">
        <f t="shared" si="20"/>
        <v>3403</v>
      </c>
      <c r="AB94" s="133">
        <f t="shared" si="21"/>
        <v>0.1888329424977887</v>
      </c>
      <c r="AC94" s="132">
        <f t="shared" si="22"/>
        <v>10926.27</v>
      </c>
      <c r="AD94" s="133">
        <f t="shared" si="23"/>
        <v>0.60630023938445898</v>
      </c>
      <c r="AF94" s="127">
        <f>'App 4 - Recyclables'!V95+'App 4 - Recyclables'!AB95</f>
        <v>3972.95</v>
      </c>
      <c r="AG94" s="127">
        <f>'App 4 - Recyclables'!W95+'App 4 - Recyclables'!AC95</f>
        <v>3968.95</v>
      </c>
      <c r="AH94" s="127">
        <f>'App 4 - Recyclables'!X95+'App 4 - Recyclables'!AD95</f>
        <v>4</v>
      </c>
      <c r="AI94" s="127">
        <f>'App 5 - Organics'!V94+'App 5 - Organics'!AD94</f>
        <v>5026</v>
      </c>
      <c r="AJ94" s="127">
        <f>'App 5 - Organics'!W94+'App 5 - Organics'!AE94</f>
        <v>5026</v>
      </c>
      <c r="AK94" s="127">
        <f>'App 5 - Organics'!X94+'App 5 - Organics'!AF94</f>
        <v>0</v>
      </c>
      <c r="AL94" s="128">
        <f>'App 6 - Residual Waste'!AC94+'App 6 - Residual Waste'!AI94</f>
        <v>20357.27</v>
      </c>
      <c r="AM94" s="128">
        <f>'App 6 - Residual Waste'!AD94+'App 6 - Residual Waste'!AJ94</f>
        <v>10.100000000000364</v>
      </c>
      <c r="AN94" s="128">
        <f>'App 6 - Residual Waste'!AE94+'App 6 - Residual Waste'!AK94</f>
        <v>20347.169999999998</v>
      </c>
      <c r="AO94" s="121"/>
      <c r="AP94" s="128">
        <f t="shared" si="24"/>
        <v>29356.22</v>
      </c>
      <c r="AQ94" s="128">
        <f t="shared" si="25"/>
        <v>9005.0500000000011</v>
      </c>
      <c r="AR94" s="128">
        <f t="shared" si="26"/>
        <v>20351.169999999998</v>
      </c>
      <c r="AS94" s="129">
        <f t="shared" si="27"/>
        <v>0.30675100540873451</v>
      </c>
    </row>
    <row r="95" spans="1:45" ht="15.75" x14ac:dyDescent="0.25">
      <c r="A95" s="8">
        <v>16260</v>
      </c>
      <c r="B95" s="8" t="s">
        <v>56</v>
      </c>
      <c r="C95" s="8" t="s">
        <v>18</v>
      </c>
      <c r="D95" s="29" t="s">
        <v>2</v>
      </c>
      <c r="E95" s="126"/>
      <c r="F95" s="127">
        <f>'App 4 - Recyclables'!V96</f>
        <v>12181.880000000001</v>
      </c>
      <c r="G95" s="127">
        <f>'App 4 - Recyclables'!W96</f>
        <v>11022.880000000001</v>
      </c>
      <c r="H95" s="127">
        <f>'App 4 - Recyclables'!X96</f>
        <v>1159</v>
      </c>
      <c r="I95" s="127">
        <f>'App 5 - Organics'!V95</f>
        <v>15449.26</v>
      </c>
      <c r="J95" s="127">
        <f>'App 5 - Organics'!W95</f>
        <v>15449.26</v>
      </c>
      <c r="K95" s="127">
        <f>'App 5 - Organics'!X95</f>
        <v>0</v>
      </c>
      <c r="L95" s="128">
        <f>'App 6 - Residual Waste'!AC95</f>
        <v>49539.96</v>
      </c>
      <c r="M95" s="128">
        <f>'App 6 - Residual Waste'!AD95</f>
        <v>14366.589999999997</v>
      </c>
      <c r="N95" s="128">
        <f>'App 6 - Residual Waste'!AE95</f>
        <v>35173.370000000003</v>
      </c>
      <c r="O95" s="121"/>
      <c r="P95" s="128">
        <f t="shared" si="15"/>
        <v>77171.100000000006</v>
      </c>
      <c r="Q95" s="128">
        <f t="shared" si="15"/>
        <v>40838.729999999996</v>
      </c>
      <c r="R95" s="128">
        <f t="shared" si="15"/>
        <v>36332.370000000003</v>
      </c>
      <c r="S95" s="129">
        <f t="shared" si="16"/>
        <v>0.52919719946974964</v>
      </c>
      <c r="U95" s="130">
        <f>(P95*1000)/'App 1 - Services'!F95/52</f>
        <v>5.5139780244277814</v>
      </c>
      <c r="V95" s="130">
        <f>(P95*1000)/'App 1 - Services'!G95/52</f>
        <v>13.779697261670169</v>
      </c>
      <c r="X95" s="131">
        <f t="shared" si="17"/>
        <v>0.52919719946974964</v>
      </c>
      <c r="Y95" s="132">
        <f t="shared" si="18"/>
        <v>12181.880000000001</v>
      </c>
      <c r="Z95" s="133">
        <f t="shared" si="19"/>
        <v>0.15785546661898042</v>
      </c>
      <c r="AA95" s="132">
        <f t="shared" si="20"/>
        <v>15449.26</v>
      </c>
      <c r="AB95" s="133">
        <f t="shared" si="21"/>
        <v>0.2001948916109787</v>
      </c>
      <c r="AC95" s="132">
        <f t="shared" si="22"/>
        <v>49539.96</v>
      </c>
      <c r="AD95" s="133">
        <f t="shared" si="23"/>
        <v>0.64194964177004077</v>
      </c>
      <c r="AF95" s="127">
        <f>'App 4 - Recyclables'!V96+'App 4 - Recyclables'!AB96</f>
        <v>12181.880000000001</v>
      </c>
      <c r="AG95" s="127">
        <f>'App 4 - Recyclables'!W96+'App 4 - Recyclables'!AC96</f>
        <v>11022.880000000001</v>
      </c>
      <c r="AH95" s="127">
        <f>'App 4 - Recyclables'!X96+'App 4 - Recyclables'!AD96</f>
        <v>1159</v>
      </c>
      <c r="AI95" s="127">
        <f>'App 5 - Organics'!V95+'App 5 - Organics'!AD95</f>
        <v>15449.26</v>
      </c>
      <c r="AJ95" s="127">
        <f>'App 5 - Organics'!W95+'App 5 - Organics'!AE95</f>
        <v>15449.26</v>
      </c>
      <c r="AK95" s="127">
        <f>'App 5 - Organics'!X95+'App 5 - Organics'!AF95</f>
        <v>0</v>
      </c>
      <c r="AL95" s="128">
        <f>'App 6 - Residual Waste'!AC95+'App 6 - Residual Waste'!AI95</f>
        <v>49539.96</v>
      </c>
      <c r="AM95" s="128">
        <f>'App 6 - Residual Waste'!AD95+'App 6 - Residual Waste'!AJ95</f>
        <v>14366.589999999997</v>
      </c>
      <c r="AN95" s="128">
        <f>'App 6 - Residual Waste'!AE95+'App 6 - Residual Waste'!AK95</f>
        <v>35173.370000000003</v>
      </c>
      <c r="AO95" s="121"/>
      <c r="AP95" s="128">
        <f t="shared" si="24"/>
        <v>77171.100000000006</v>
      </c>
      <c r="AQ95" s="128">
        <f t="shared" si="25"/>
        <v>40838.729999999996</v>
      </c>
      <c r="AR95" s="128">
        <f t="shared" si="26"/>
        <v>36332.370000000003</v>
      </c>
      <c r="AS95" s="129">
        <f t="shared" si="27"/>
        <v>0.52919719946974964</v>
      </c>
    </row>
    <row r="96" spans="1:45" ht="15.75" x14ac:dyDescent="0.25">
      <c r="A96" s="8">
        <v>16350</v>
      </c>
      <c r="B96" s="8" t="s">
        <v>57</v>
      </c>
      <c r="C96" s="8" t="s">
        <v>182</v>
      </c>
      <c r="D96" s="29" t="s">
        <v>2</v>
      </c>
      <c r="E96" s="126"/>
      <c r="F96" s="127">
        <f>'App 4 - Recyclables'!V97</f>
        <v>19666.62</v>
      </c>
      <c r="G96" s="127">
        <f>'App 4 - Recyclables'!W97</f>
        <v>18017.32</v>
      </c>
      <c r="H96" s="127">
        <f>'App 4 - Recyclables'!X97</f>
        <v>1649.3000000000002</v>
      </c>
      <c r="I96" s="127">
        <f>'App 5 - Organics'!V96</f>
        <v>35790.04</v>
      </c>
      <c r="J96" s="127">
        <f>'App 5 - Organics'!W96</f>
        <v>34680.89</v>
      </c>
      <c r="K96" s="127">
        <f>'App 5 - Organics'!X96</f>
        <v>1109.1500000000001</v>
      </c>
      <c r="L96" s="128">
        <f>'App 6 - Residual Waste'!AC96</f>
        <v>44081.16</v>
      </c>
      <c r="M96" s="128">
        <f>'App 6 - Residual Waste'!AD96</f>
        <v>3816.1800000000007</v>
      </c>
      <c r="N96" s="128">
        <f>'App 6 - Residual Waste'!AE96</f>
        <v>40264.980000000003</v>
      </c>
      <c r="O96" s="121"/>
      <c r="P96" s="128">
        <f t="shared" si="15"/>
        <v>99537.82</v>
      </c>
      <c r="Q96" s="128">
        <f t="shared" si="15"/>
        <v>56514.39</v>
      </c>
      <c r="R96" s="128">
        <f t="shared" si="15"/>
        <v>43023.43</v>
      </c>
      <c r="S96" s="129">
        <f t="shared" si="16"/>
        <v>0.56776801018949374</v>
      </c>
      <c r="U96" s="130">
        <f>(P96*1000)/'App 1 - Services'!F96/52</f>
        <v>8.5270993623296469</v>
      </c>
      <c r="V96" s="130">
        <f>(P96*1000)/'App 1 - Services'!G96/52</f>
        <v>23.184303645097696</v>
      </c>
      <c r="X96" s="131">
        <f t="shared" si="17"/>
        <v>0.56776801018949374</v>
      </c>
      <c r="Y96" s="132">
        <f t="shared" si="18"/>
        <v>19666.62</v>
      </c>
      <c r="Z96" s="133">
        <f t="shared" si="19"/>
        <v>0.19757937234309531</v>
      </c>
      <c r="AA96" s="132">
        <f t="shared" si="20"/>
        <v>35790.04</v>
      </c>
      <c r="AB96" s="133">
        <f t="shared" si="21"/>
        <v>0.35956222469007254</v>
      </c>
      <c r="AC96" s="132">
        <f t="shared" si="22"/>
        <v>44081.16</v>
      </c>
      <c r="AD96" s="133">
        <f t="shared" si="23"/>
        <v>0.4428584029668321</v>
      </c>
      <c r="AF96" s="127">
        <f>'App 4 - Recyclables'!V97+'App 4 - Recyclables'!AB97</f>
        <v>19810.73</v>
      </c>
      <c r="AG96" s="127">
        <f>'App 4 - Recyclables'!W97+'App 4 - Recyclables'!AC97</f>
        <v>18017.32</v>
      </c>
      <c r="AH96" s="127">
        <f>'App 4 - Recyclables'!X97+'App 4 - Recyclables'!AD97</f>
        <v>1793.4100000000003</v>
      </c>
      <c r="AI96" s="127">
        <f>'App 5 - Organics'!V96+'App 5 - Organics'!AD96</f>
        <v>37415.58</v>
      </c>
      <c r="AJ96" s="127">
        <f>'App 5 - Organics'!W96+'App 5 - Organics'!AE96</f>
        <v>36306.43</v>
      </c>
      <c r="AK96" s="127">
        <f>'App 5 - Organics'!X96+'App 5 - Organics'!AF96</f>
        <v>1109.1500000000001</v>
      </c>
      <c r="AL96" s="128">
        <f>'App 6 - Residual Waste'!AC96+'App 6 - Residual Waste'!AI96</f>
        <v>46629.73</v>
      </c>
      <c r="AM96" s="128">
        <f>'App 6 - Residual Waste'!AD96+'App 6 - Residual Waste'!AJ96</f>
        <v>4318.9100000000008</v>
      </c>
      <c r="AN96" s="128">
        <f>'App 6 - Residual Waste'!AE96+'App 6 - Residual Waste'!AK96</f>
        <v>42310.82</v>
      </c>
      <c r="AO96" s="121"/>
      <c r="AP96" s="128">
        <f t="shared" si="24"/>
        <v>103856.04000000001</v>
      </c>
      <c r="AQ96" s="128">
        <f t="shared" si="25"/>
        <v>58642.66</v>
      </c>
      <c r="AR96" s="128">
        <f t="shared" si="26"/>
        <v>45213.38</v>
      </c>
      <c r="AS96" s="129">
        <f t="shared" si="27"/>
        <v>0.56465334129820466</v>
      </c>
    </row>
    <row r="97" spans="1:45" ht="15.75" x14ac:dyDescent="0.25">
      <c r="A97" s="8">
        <v>16380</v>
      </c>
      <c r="B97" s="8" t="s">
        <v>145</v>
      </c>
      <c r="C97" s="8" t="s">
        <v>39</v>
      </c>
      <c r="D97" s="29" t="s">
        <v>3</v>
      </c>
      <c r="E97" s="126"/>
      <c r="F97" s="127">
        <f>'App 4 - Recyclables'!V98</f>
        <v>9745.09</v>
      </c>
      <c r="G97" s="127">
        <f>'App 4 - Recyclables'!W98</f>
        <v>8243.1299999999992</v>
      </c>
      <c r="H97" s="127">
        <f>'App 4 - Recyclables'!X98</f>
        <v>1501.96</v>
      </c>
      <c r="I97" s="127">
        <f>'App 5 - Organics'!V97</f>
        <v>17350.55</v>
      </c>
      <c r="J97" s="127">
        <f>'App 5 - Organics'!W97</f>
        <v>17308.23</v>
      </c>
      <c r="K97" s="127">
        <f>'App 5 - Organics'!X97</f>
        <v>42.32</v>
      </c>
      <c r="L97" s="128">
        <f>'App 6 - Residual Waste'!AC97</f>
        <v>20598.77</v>
      </c>
      <c r="M97" s="128">
        <f>'App 6 - Residual Waste'!AD97</f>
        <v>19.260000000000218</v>
      </c>
      <c r="N97" s="128">
        <f>'App 6 - Residual Waste'!AE97</f>
        <v>20579.509999999998</v>
      </c>
      <c r="O97" s="121"/>
      <c r="P97" s="128">
        <f t="shared" si="15"/>
        <v>47694.41</v>
      </c>
      <c r="Q97" s="128">
        <f t="shared" si="15"/>
        <v>25570.620000000003</v>
      </c>
      <c r="R97" s="128">
        <f t="shared" si="15"/>
        <v>22123.789999999997</v>
      </c>
      <c r="S97" s="129">
        <f t="shared" si="16"/>
        <v>0.53613452813442919</v>
      </c>
      <c r="U97" s="130">
        <f>(P97*1000)/'App 1 - Services'!F97/52</f>
        <v>10.237066301036792</v>
      </c>
      <c r="V97" s="130">
        <f>(P97*1000)/'App 1 - Services'!G97/52</f>
        <v>22.372919121565328</v>
      </c>
      <c r="X97" s="131">
        <f t="shared" si="17"/>
        <v>0.53613452813442919</v>
      </c>
      <c r="Y97" s="132">
        <f t="shared" si="18"/>
        <v>9745.09</v>
      </c>
      <c r="Z97" s="133">
        <f t="shared" si="19"/>
        <v>0.20432352554523683</v>
      </c>
      <c r="AA97" s="132">
        <f t="shared" si="20"/>
        <v>17350.55</v>
      </c>
      <c r="AB97" s="133">
        <f t="shared" si="21"/>
        <v>0.36378581892511092</v>
      </c>
      <c r="AC97" s="132">
        <f t="shared" si="22"/>
        <v>20598.77</v>
      </c>
      <c r="AD97" s="133">
        <f t="shared" si="23"/>
        <v>0.43189065552965217</v>
      </c>
      <c r="AF97" s="127">
        <f>'App 4 - Recyclables'!V98+'App 4 - Recyclables'!AB98</f>
        <v>28610.71</v>
      </c>
      <c r="AG97" s="127">
        <f>'App 4 - Recyclables'!W98+'App 4 - Recyclables'!AC98</f>
        <v>26916.379999999997</v>
      </c>
      <c r="AH97" s="127">
        <f>'App 4 - Recyclables'!X98+'App 4 - Recyclables'!AD98</f>
        <v>1694.33</v>
      </c>
      <c r="AI97" s="127">
        <f>'App 5 - Organics'!V97+'App 5 - Organics'!AD97</f>
        <v>28009.23</v>
      </c>
      <c r="AJ97" s="127">
        <f>'App 5 - Organics'!W97+'App 5 - Organics'!AE97</f>
        <v>27966.91</v>
      </c>
      <c r="AK97" s="127">
        <f>'App 5 - Organics'!X97+'App 5 - Organics'!AF97</f>
        <v>42.32</v>
      </c>
      <c r="AL97" s="128">
        <f>'App 6 - Residual Waste'!AC97+'App 6 - Residual Waste'!AI97</f>
        <v>50917.42</v>
      </c>
      <c r="AM97" s="128">
        <f>'App 6 - Residual Waste'!AD97+'App 6 - Residual Waste'!AJ97</f>
        <v>19.260000000000218</v>
      </c>
      <c r="AN97" s="128">
        <f>'App 6 - Residual Waste'!AE97+'App 6 - Residual Waste'!AK97</f>
        <v>50898.16</v>
      </c>
      <c r="AO97" s="121"/>
      <c r="AP97" s="128">
        <f t="shared" si="24"/>
        <v>107537.36</v>
      </c>
      <c r="AQ97" s="128">
        <f t="shared" si="25"/>
        <v>54902.549999999996</v>
      </c>
      <c r="AR97" s="128">
        <f t="shared" si="26"/>
        <v>52634.810000000005</v>
      </c>
      <c r="AS97" s="129">
        <f t="shared" si="27"/>
        <v>0.51054396351184361</v>
      </c>
    </row>
    <row r="98" spans="1:45" ht="15.75" x14ac:dyDescent="0.25">
      <c r="A98" s="8">
        <v>16400</v>
      </c>
      <c r="B98" s="8" t="s">
        <v>58</v>
      </c>
      <c r="C98" s="8" t="s">
        <v>23</v>
      </c>
      <c r="D98" s="29" t="s">
        <v>2</v>
      </c>
      <c r="E98" s="126"/>
      <c r="F98" s="127">
        <f>'App 4 - Recyclables'!V99</f>
        <v>8727.35</v>
      </c>
      <c r="G98" s="127">
        <f>'App 4 - Recyclables'!W99</f>
        <v>8317.35</v>
      </c>
      <c r="H98" s="127">
        <f>'App 4 - Recyclables'!X99</f>
        <v>410</v>
      </c>
      <c r="I98" s="127">
        <f>'App 5 - Organics'!V98</f>
        <v>2103.8000000000002</v>
      </c>
      <c r="J98" s="127">
        <f>'App 5 - Organics'!W98</f>
        <v>2103.8000000000002</v>
      </c>
      <c r="K98" s="127">
        <f>'App 5 - Organics'!X98</f>
        <v>0</v>
      </c>
      <c r="L98" s="128">
        <f>'App 6 - Residual Waste'!AC98</f>
        <v>33241.1</v>
      </c>
      <c r="M98" s="128">
        <f>'App 6 - Residual Waste'!AD98</f>
        <v>404.49999999999955</v>
      </c>
      <c r="N98" s="128">
        <f>'App 6 - Residual Waste'!AE98</f>
        <v>32836.6</v>
      </c>
      <c r="O98" s="121"/>
      <c r="P98" s="128">
        <f t="shared" si="15"/>
        <v>44072.25</v>
      </c>
      <c r="Q98" s="128">
        <f t="shared" si="15"/>
        <v>10825.650000000001</v>
      </c>
      <c r="R98" s="128">
        <f t="shared" si="15"/>
        <v>33246.6</v>
      </c>
      <c r="S98" s="129">
        <f t="shared" si="16"/>
        <v>0.24563415754811704</v>
      </c>
      <c r="U98" s="130">
        <f>(P98*1000)/'App 1 - Services'!F98/52</f>
        <v>10.901158476498036</v>
      </c>
      <c r="V98" s="130">
        <f>(P98*1000)/'App 1 - Services'!G98/52</f>
        <v>23.979156011621704</v>
      </c>
      <c r="X98" s="131">
        <f t="shared" si="17"/>
        <v>0.24563415754811704</v>
      </c>
      <c r="Y98" s="132">
        <f t="shared" si="18"/>
        <v>8727.35</v>
      </c>
      <c r="Z98" s="133">
        <f t="shared" si="19"/>
        <v>0.19802369972034559</v>
      </c>
      <c r="AA98" s="132">
        <f t="shared" si="20"/>
        <v>2103.8000000000002</v>
      </c>
      <c r="AB98" s="133">
        <f t="shared" si="21"/>
        <v>4.7735252908576262E-2</v>
      </c>
      <c r="AC98" s="132">
        <f t="shared" si="22"/>
        <v>33241.1</v>
      </c>
      <c r="AD98" s="133">
        <f t="shared" si="23"/>
        <v>0.75424104737107811</v>
      </c>
      <c r="AF98" s="127">
        <f>'App 4 - Recyclables'!V99+'App 4 - Recyclables'!AB99</f>
        <v>8727.35</v>
      </c>
      <c r="AG98" s="127">
        <f>'App 4 - Recyclables'!W99+'App 4 - Recyclables'!AC99</f>
        <v>8317.35</v>
      </c>
      <c r="AH98" s="127">
        <f>'App 4 - Recyclables'!X99+'App 4 - Recyclables'!AD99</f>
        <v>410</v>
      </c>
      <c r="AI98" s="127">
        <f>'App 5 - Organics'!V98+'App 5 - Organics'!AD98</f>
        <v>2103.8000000000002</v>
      </c>
      <c r="AJ98" s="127">
        <f>'App 5 - Organics'!W98+'App 5 - Organics'!AE98</f>
        <v>2103.8000000000002</v>
      </c>
      <c r="AK98" s="127">
        <f>'App 5 - Organics'!X98+'App 5 - Organics'!AF98</f>
        <v>0</v>
      </c>
      <c r="AL98" s="128">
        <f>'App 6 - Residual Waste'!AC98+'App 6 - Residual Waste'!AI98</f>
        <v>33241.1</v>
      </c>
      <c r="AM98" s="128">
        <f>'App 6 - Residual Waste'!AD98+'App 6 - Residual Waste'!AJ98</f>
        <v>404.49999999999955</v>
      </c>
      <c r="AN98" s="128">
        <f>'App 6 - Residual Waste'!AE98+'App 6 - Residual Waste'!AK98</f>
        <v>32836.6</v>
      </c>
      <c r="AO98" s="121"/>
      <c r="AP98" s="128">
        <f t="shared" si="24"/>
        <v>44072.25</v>
      </c>
      <c r="AQ98" s="128">
        <f t="shared" si="25"/>
        <v>10825.650000000001</v>
      </c>
      <c r="AR98" s="128">
        <f t="shared" si="26"/>
        <v>33246.6</v>
      </c>
      <c r="AS98" s="129">
        <f t="shared" si="27"/>
        <v>0.24563415754811704</v>
      </c>
    </row>
    <row r="99" spans="1:45" ht="15.75" x14ac:dyDescent="0.25">
      <c r="A99" s="8">
        <v>16490</v>
      </c>
      <c r="B99" s="8" t="s">
        <v>146</v>
      </c>
      <c r="C99" s="8" t="s">
        <v>67</v>
      </c>
      <c r="D99" s="29" t="s">
        <v>1</v>
      </c>
      <c r="E99" s="126"/>
      <c r="F99" s="127">
        <f>'App 4 - Recyclables'!V100</f>
        <v>6057.0599999999995</v>
      </c>
      <c r="G99" s="127">
        <f>'App 4 - Recyclables'!W100</f>
        <v>5768.5599999999995</v>
      </c>
      <c r="H99" s="127">
        <f>'App 4 - Recyclables'!X100</f>
        <v>288.5</v>
      </c>
      <c r="I99" s="127">
        <f>'App 5 - Organics'!V99</f>
        <v>6649</v>
      </c>
      <c r="J99" s="127">
        <f>'App 5 - Organics'!W99</f>
        <v>6270</v>
      </c>
      <c r="K99" s="127">
        <f>'App 5 - Organics'!X99</f>
        <v>379</v>
      </c>
      <c r="L99" s="128">
        <f>'App 6 - Residual Waste'!AC99</f>
        <v>16837.23</v>
      </c>
      <c r="M99" s="128">
        <f>'App 6 - Residual Waste'!AD99</f>
        <v>304.82999999999993</v>
      </c>
      <c r="N99" s="128">
        <f>'App 6 - Residual Waste'!AE99</f>
        <v>16532.400000000001</v>
      </c>
      <c r="O99" s="121"/>
      <c r="P99" s="128">
        <f t="shared" si="15"/>
        <v>29543.29</v>
      </c>
      <c r="Q99" s="128">
        <f t="shared" si="15"/>
        <v>12343.39</v>
      </c>
      <c r="R99" s="128">
        <f t="shared" si="15"/>
        <v>17199.900000000001</v>
      </c>
      <c r="S99" s="129">
        <f t="shared" si="16"/>
        <v>0.41780688609833228</v>
      </c>
      <c r="U99" s="130">
        <f>(P99*1000)/'App 1 - Services'!F99/52</f>
        <v>8.6912786230123196</v>
      </c>
      <c r="V99" s="130">
        <f>(P99*1000)/'App 1 - Services'!G99/52</f>
        <v>20.261775759903436</v>
      </c>
      <c r="X99" s="131">
        <f t="shared" si="17"/>
        <v>0.41780688609833228</v>
      </c>
      <c r="Y99" s="132">
        <f t="shared" si="18"/>
        <v>6057.0599999999995</v>
      </c>
      <c r="Z99" s="133">
        <f t="shared" si="19"/>
        <v>0.20502320493079815</v>
      </c>
      <c r="AA99" s="132">
        <f t="shared" si="20"/>
        <v>6649</v>
      </c>
      <c r="AB99" s="133">
        <f t="shared" si="21"/>
        <v>0.22505956513306405</v>
      </c>
      <c r="AC99" s="132">
        <f t="shared" si="22"/>
        <v>16837.23</v>
      </c>
      <c r="AD99" s="133">
        <f t="shared" si="23"/>
        <v>0.5699172299361378</v>
      </c>
      <c r="AF99" s="127">
        <f>'App 4 - Recyclables'!V100+'App 4 - Recyclables'!AB100</f>
        <v>6057.0599999999995</v>
      </c>
      <c r="AG99" s="127">
        <f>'App 4 - Recyclables'!W100+'App 4 - Recyclables'!AC100</f>
        <v>5768.5599999999995</v>
      </c>
      <c r="AH99" s="127">
        <f>'App 4 - Recyclables'!X100+'App 4 - Recyclables'!AD100</f>
        <v>288.5</v>
      </c>
      <c r="AI99" s="127">
        <f>'App 5 - Organics'!V99+'App 5 - Organics'!AD99</f>
        <v>6649</v>
      </c>
      <c r="AJ99" s="127">
        <f>'App 5 - Organics'!W99+'App 5 - Organics'!AE99</f>
        <v>6270</v>
      </c>
      <c r="AK99" s="127">
        <f>'App 5 - Organics'!X99+'App 5 - Organics'!AF99</f>
        <v>379</v>
      </c>
      <c r="AL99" s="128">
        <f>'App 6 - Residual Waste'!AC99+'App 6 - Residual Waste'!AI99</f>
        <v>16837.23</v>
      </c>
      <c r="AM99" s="128">
        <f>'App 6 - Residual Waste'!AD99+'App 6 - Residual Waste'!AJ99</f>
        <v>304.82999999999993</v>
      </c>
      <c r="AN99" s="128">
        <f>'App 6 - Residual Waste'!AE99+'App 6 - Residual Waste'!AK99</f>
        <v>16532.400000000001</v>
      </c>
      <c r="AO99" s="121"/>
      <c r="AP99" s="128">
        <f t="shared" si="24"/>
        <v>29543.29</v>
      </c>
      <c r="AQ99" s="128">
        <f t="shared" si="25"/>
        <v>12343.39</v>
      </c>
      <c r="AR99" s="128">
        <f t="shared" si="26"/>
        <v>17199.900000000001</v>
      </c>
      <c r="AS99" s="129">
        <f t="shared" si="27"/>
        <v>0.41780688609833228</v>
      </c>
    </row>
    <row r="100" spans="1:45" ht="15.75" x14ac:dyDescent="0.25">
      <c r="A100" s="8">
        <v>16550</v>
      </c>
      <c r="B100" s="8" t="s">
        <v>59</v>
      </c>
      <c r="C100" s="8" t="s">
        <v>17</v>
      </c>
      <c r="D100" s="29" t="s">
        <v>2</v>
      </c>
      <c r="E100" s="126"/>
      <c r="F100" s="127">
        <f>'App 4 - Recyclables'!V101</f>
        <v>11496.78</v>
      </c>
      <c r="G100" s="127">
        <f>'App 4 - Recyclables'!W101</f>
        <v>9952.7800000000007</v>
      </c>
      <c r="H100" s="127">
        <f>'App 4 - Recyclables'!X101</f>
        <v>1544</v>
      </c>
      <c r="I100" s="127">
        <f>'App 5 - Organics'!V100</f>
        <v>13726.79</v>
      </c>
      <c r="J100" s="127">
        <f>'App 5 - Organics'!W100</f>
        <v>12902.79</v>
      </c>
      <c r="K100" s="127">
        <f>'App 5 - Organics'!X100</f>
        <v>824</v>
      </c>
      <c r="L100" s="128">
        <f>'App 6 - Residual Waste'!AC100</f>
        <v>24562.66</v>
      </c>
      <c r="M100" s="128">
        <f>'App 6 - Residual Waste'!AD100</f>
        <v>6599.159999999998</v>
      </c>
      <c r="N100" s="128">
        <f>'App 6 - Residual Waste'!AE100</f>
        <v>17963.5</v>
      </c>
      <c r="O100" s="121"/>
      <c r="P100" s="128">
        <f t="shared" si="15"/>
        <v>49786.229999999996</v>
      </c>
      <c r="Q100" s="128">
        <f t="shared" si="15"/>
        <v>29454.729999999996</v>
      </c>
      <c r="R100" s="128">
        <f t="shared" si="15"/>
        <v>20331.5</v>
      </c>
      <c r="S100" s="129">
        <f t="shared" si="16"/>
        <v>0.59162402937519065</v>
      </c>
      <c r="U100" s="130">
        <f>(P100*1000)/'App 1 - Services'!F100/52</f>
        <v>6.7500528764805399</v>
      </c>
      <c r="V100" s="130">
        <f>(P100*1000)/'App 1 - Services'!G100/52</f>
        <v>15.953934213157366</v>
      </c>
      <c r="X100" s="131">
        <f t="shared" si="17"/>
        <v>0.59162402937519065</v>
      </c>
      <c r="Y100" s="132">
        <f t="shared" si="18"/>
        <v>11496.78</v>
      </c>
      <c r="Z100" s="133">
        <f t="shared" si="19"/>
        <v>0.23092288771413302</v>
      </c>
      <c r="AA100" s="132">
        <f t="shared" si="20"/>
        <v>13726.79</v>
      </c>
      <c r="AB100" s="133">
        <f t="shared" si="21"/>
        <v>0.27571459015876482</v>
      </c>
      <c r="AC100" s="132">
        <f t="shared" si="22"/>
        <v>24562.66</v>
      </c>
      <c r="AD100" s="133">
        <f t="shared" si="23"/>
        <v>0.49336252212710224</v>
      </c>
      <c r="AF100" s="127">
        <f>'App 4 - Recyclables'!V101+'App 4 - Recyclables'!AB101</f>
        <v>11496.78</v>
      </c>
      <c r="AG100" s="127">
        <f>'App 4 - Recyclables'!W101+'App 4 - Recyclables'!AC101</f>
        <v>9952.7800000000007</v>
      </c>
      <c r="AH100" s="127">
        <f>'App 4 - Recyclables'!X101+'App 4 - Recyclables'!AD101</f>
        <v>1544</v>
      </c>
      <c r="AI100" s="127">
        <f>'App 5 - Organics'!V100+'App 5 - Organics'!AD100</f>
        <v>13726.79</v>
      </c>
      <c r="AJ100" s="127">
        <f>'App 5 - Organics'!W100+'App 5 - Organics'!AE100</f>
        <v>12902.79</v>
      </c>
      <c r="AK100" s="127">
        <f>'App 5 - Organics'!X100+'App 5 - Organics'!AF100</f>
        <v>824</v>
      </c>
      <c r="AL100" s="128">
        <f>'App 6 - Residual Waste'!AC100+'App 6 - Residual Waste'!AI100</f>
        <v>25581.77</v>
      </c>
      <c r="AM100" s="128">
        <f>'App 6 - Residual Waste'!AD100+'App 6 - Residual Waste'!AJ100</f>
        <v>6925.2799999999979</v>
      </c>
      <c r="AN100" s="128">
        <f>'App 6 - Residual Waste'!AE100+'App 6 - Residual Waste'!AK100</f>
        <v>18656.490000000002</v>
      </c>
      <c r="AO100" s="121"/>
      <c r="AP100" s="128">
        <f t="shared" si="24"/>
        <v>50805.34</v>
      </c>
      <c r="AQ100" s="128">
        <f t="shared" si="25"/>
        <v>29780.85</v>
      </c>
      <c r="AR100" s="128">
        <f t="shared" si="26"/>
        <v>21024.49</v>
      </c>
      <c r="AS100" s="129">
        <f t="shared" si="27"/>
        <v>0.58617558705443173</v>
      </c>
    </row>
    <row r="101" spans="1:45" ht="15.75" x14ac:dyDescent="0.25">
      <c r="A101" s="8">
        <v>16610</v>
      </c>
      <c r="B101" s="8" t="s">
        <v>147</v>
      </c>
      <c r="C101" s="8" t="s">
        <v>19</v>
      </c>
      <c r="D101" s="29" t="s">
        <v>3</v>
      </c>
      <c r="E101" s="126"/>
      <c r="F101" s="127">
        <f>'App 4 - Recyclables'!V102</f>
        <v>3740.08</v>
      </c>
      <c r="G101" s="127">
        <f>'App 4 - Recyclables'!W102</f>
        <v>3515.82</v>
      </c>
      <c r="H101" s="127">
        <f>'App 4 - Recyclables'!X102</f>
        <v>224.26</v>
      </c>
      <c r="I101" s="127">
        <f>'App 5 - Organics'!V101</f>
        <v>3539</v>
      </c>
      <c r="J101" s="127">
        <f>'App 5 - Organics'!W101</f>
        <v>3051</v>
      </c>
      <c r="K101" s="127">
        <f>'App 5 - Organics'!X101</f>
        <v>488</v>
      </c>
      <c r="L101" s="128">
        <f>'App 6 - Residual Waste'!AC101</f>
        <v>5627.29</v>
      </c>
      <c r="M101" s="128">
        <f>'App 6 - Residual Waste'!AD101</f>
        <v>221</v>
      </c>
      <c r="N101" s="128">
        <f>'App 6 - Residual Waste'!AE101</f>
        <v>5406.29</v>
      </c>
      <c r="O101" s="121"/>
      <c r="P101" s="128">
        <f t="shared" ref="P101:R132" si="28">F101+I101+L101</f>
        <v>12906.369999999999</v>
      </c>
      <c r="Q101" s="128">
        <f t="shared" si="28"/>
        <v>6787.82</v>
      </c>
      <c r="R101" s="128">
        <f t="shared" si="28"/>
        <v>6118.55</v>
      </c>
      <c r="S101" s="129">
        <f t="shared" si="16"/>
        <v>0.52592789452030275</v>
      </c>
      <c r="U101" s="130">
        <f>(P101*1000)/'App 1 - Services'!F101/52</f>
        <v>10.47034056430808</v>
      </c>
      <c r="V101" s="130">
        <f>(P101*1000)/'App 1 - Services'!G101/52</f>
        <v>22.922000653576195</v>
      </c>
      <c r="X101" s="131">
        <f t="shared" si="17"/>
        <v>0.52592789452030275</v>
      </c>
      <c r="Y101" s="132">
        <f t="shared" si="18"/>
        <v>3740.08</v>
      </c>
      <c r="Z101" s="133">
        <f t="shared" si="19"/>
        <v>0.28978558649721031</v>
      </c>
      <c r="AA101" s="132">
        <f t="shared" si="20"/>
        <v>3539</v>
      </c>
      <c r="AB101" s="133">
        <f t="shared" si="21"/>
        <v>0.27420568293021202</v>
      </c>
      <c r="AC101" s="132">
        <f t="shared" si="22"/>
        <v>5627.29</v>
      </c>
      <c r="AD101" s="133">
        <f t="shared" si="23"/>
        <v>0.43600873057257777</v>
      </c>
      <c r="AF101" s="127">
        <f>'App 4 - Recyclables'!V102+'App 4 - Recyclables'!AB102</f>
        <v>5109.08</v>
      </c>
      <c r="AG101" s="127">
        <f>'App 4 - Recyclables'!W102+'App 4 - Recyclables'!AC102</f>
        <v>4884.82</v>
      </c>
      <c r="AH101" s="127">
        <f>'App 4 - Recyclables'!X102+'App 4 - Recyclables'!AD102</f>
        <v>224.26</v>
      </c>
      <c r="AI101" s="127">
        <f>'App 5 - Organics'!V101+'App 5 - Organics'!AD101</f>
        <v>6828</v>
      </c>
      <c r="AJ101" s="127">
        <f>'App 5 - Organics'!W101+'App 5 - Organics'!AE101</f>
        <v>6340</v>
      </c>
      <c r="AK101" s="127">
        <f>'App 5 - Organics'!X101+'App 5 - Organics'!AF101</f>
        <v>488</v>
      </c>
      <c r="AL101" s="128">
        <f>'App 6 - Residual Waste'!AC101+'App 6 - Residual Waste'!AI101</f>
        <v>10087.290000000001</v>
      </c>
      <c r="AM101" s="128">
        <f>'App 6 - Residual Waste'!AD101+'App 6 - Residual Waste'!AJ101</f>
        <v>221</v>
      </c>
      <c r="AN101" s="128">
        <f>'App 6 - Residual Waste'!AE101+'App 6 - Residual Waste'!AK101</f>
        <v>9866.2900000000009</v>
      </c>
      <c r="AO101" s="121"/>
      <c r="AP101" s="128">
        <f t="shared" si="24"/>
        <v>22024.370000000003</v>
      </c>
      <c r="AQ101" s="128">
        <f t="shared" si="25"/>
        <v>11445.82</v>
      </c>
      <c r="AR101" s="128">
        <f t="shared" si="26"/>
        <v>10578.550000000001</v>
      </c>
      <c r="AS101" s="129">
        <f t="shared" si="27"/>
        <v>0.51968887191778912</v>
      </c>
    </row>
    <row r="102" spans="1:45" ht="15.75" x14ac:dyDescent="0.25">
      <c r="A102" s="8">
        <v>16700</v>
      </c>
      <c r="B102" s="8" t="s">
        <v>60</v>
      </c>
      <c r="C102" s="8" t="s">
        <v>24</v>
      </c>
      <c r="D102" s="29" t="s">
        <v>2</v>
      </c>
      <c r="E102" s="126"/>
      <c r="F102" s="127">
        <f>'App 4 - Recyclables'!V103</f>
        <v>8492.57</v>
      </c>
      <c r="G102" s="127">
        <f>'App 4 - Recyclables'!W103</f>
        <v>7643.1200000000008</v>
      </c>
      <c r="H102" s="127">
        <f>'App 4 - Recyclables'!X103</f>
        <v>849.45</v>
      </c>
      <c r="I102" s="127">
        <f>'App 5 - Organics'!V102</f>
        <v>9907.7999999999993</v>
      </c>
      <c r="J102" s="127">
        <f>'App 5 - Organics'!W102</f>
        <v>9586.8499999999985</v>
      </c>
      <c r="K102" s="127">
        <f>'App 5 - Organics'!X102</f>
        <v>320.95</v>
      </c>
      <c r="L102" s="128">
        <f>'App 6 - Residual Waste'!AC102</f>
        <v>31056.49</v>
      </c>
      <c r="M102" s="128">
        <f>'App 6 - Residual Waste'!AD102</f>
        <v>2970.5099999999998</v>
      </c>
      <c r="N102" s="128">
        <f>'App 6 - Residual Waste'!AE102</f>
        <v>28085.98</v>
      </c>
      <c r="O102" s="121"/>
      <c r="P102" s="128">
        <f t="shared" si="28"/>
        <v>49456.86</v>
      </c>
      <c r="Q102" s="128">
        <f t="shared" si="28"/>
        <v>20200.48</v>
      </c>
      <c r="R102" s="128">
        <f t="shared" si="28"/>
        <v>29256.38</v>
      </c>
      <c r="S102" s="129">
        <f t="shared" si="16"/>
        <v>0.40844647233973203</v>
      </c>
      <c r="U102" s="130">
        <f>(P102*1000)/'App 1 - Services'!F102/52</f>
        <v>7.0079685633120752</v>
      </c>
      <c r="V102" s="130">
        <f>(P102*1000)/'App 1 - Services'!G102/52</f>
        <v>17.17333179622371</v>
      </c>
      <c r="X102" s="131">
        <f t="shared" si="17"/>
        <v>0.40844647233973203</v>
      </c>
      <c r="Y102" s="132">
        <f t="shared" si="18"/>
        <v>8492.57</v>
      </c>
      <c r="Z102" s="133">
        <f t="shared" si="19"/>
        <v>0.17171672443418365</v>
      </c>
      <c r="AA102" s="132">
        <f t="shared" si="20"/>
        <v>9907.7999999999993</v>
      </c>
      <c r="AB102" s="133">
        <f t="shared" si="21"/>
        <v>0.20033216827756553</v>
      </c>
      <c r="AC102" s="132">
        <f t="shared" si="22"/>
        <v>31056.49</v>
      </c>
      <c r="AD102" s="133">
        <f t="shared" si="23"/>
        <v>0.62795110728825088</v>
      </c>
      <c r="AF102" s="127">
        <f>'App 4 - Recyclables'!V103+'App 4 - Recyclables'!AB103</f>
        <v>8492.57</v>
      </c>
      <c r="AG102" s="127">
        <f>'App 4 - Recyclables'!W103+'App 4 - Recyclables'!AC103</f>
        <v>7643.1200000000008</v>
      </c>
      <c r="AH102" s="127">
        <f>'App 4 - Recyclables'!X103+'App 4 - Recyclables'!AD103</f>
        <v>849.45</v>
      </c>
      <c r="AI102" s="127">
        <f>'App 5 - Organics'!V102+'App 5 - Organics'!AD102</f>
        <v>9998.5</v>
      </c>
      <c r="AJ102" s="127">
        <f>'App 5 - Organics'!W102+'App 5 - Organics'!AE102</f>
        <v>9677.5499999999993</v>
      </c>
      <c r="AK102" s="127">
        <f>'App 5 - Organics'!X102+'App 5 - Organics'!AF102</f>
        <v>320.95</v>
      </c>
      <c r="AL102" s="128">
        <f>'App 6 - Residual Waste'!AC102+'App 6 - Residual Waste'!AI102</f>
        <v>31056.49</v>
      </c>
      <c r="AM102" s="128">
        <f>'App 6 - Residual Waste'!AD102+'App 6 - Residual Waste'!AJ102</f>
        <v>2970.5099999999998</v>
      </c>
      <c r="AN102" s="128">
        <f>'App 6 - Residual Waste'!AE102+'App 6 - Residual Waste'!AK102</f>
        <v>28085.98</v>
      </c>
      <c r="AO102" s="121"/>
      <c r="AP102" s="128">
        <f t="shared" si="24"/>
        <v>49547.56</v>
      </c>
      <c r="AQ102" s="128">
        <f t="shared" si="25"/>
        <v>20291.179999999997</v>
      </c>
      <c r="AR102" s="128">
        <f t="shared" si="26"/>
        <v>29256.38</v>
      </c>
      <c r="AS102" s="129">
        <f t="shared" si="27"/>
        <v>0.40952934917481298</v>
      </c>
    </row>
    <row r="103" spans="1:45" ht="15.75" x14ac:dyDescent="0.25">
      <c r="A103" s="8">
        <v>16900</v>
      </c>
      <c r="B103" s="8" t="s">
        <v>148</v>
      </c>
      <c r="C103" s="8" t="s">
        <v>37</v>
      </c>
      <c r="D103" s="29" t="s">
        <v>2</v>
      </c>
      <c r="E103" s="126"/>
      <c r="F103" s="127">
        <f>'App 4 - Recyclables'!V104</f>
        <v>8786.93</v>
      </c>
      <c r="G103" s="127">
        <f>'App 4 - Recyclables'!W104</f>
        <v>8196.93</v>
      </c>
      <c r="H103" s="127">
        <f>'App 4 - Recyclables'!X104</f>
        <v>590</v>
      </c>
      <c r="I103" s="127">
        <f>'App 5 - Organics'!V103</f>
        <v>14073</v>
      </c>
      <c r="J103" s="127">
        <f>'App 5 - Organics'!W103</f>
        <v>13550</v>
      </c>
      <c r="K103" s="127">
        <f>'App 5 - Organics'!X103</f>
        <v>523</v>
      </c>
      <c r="L103" s="128">
        <f>'App 6 - Residual Waste'!AC103</f>
        <v>19732</v>
      </c>
      <c r="M103" s="128">
        <f>'App 6 - Residual Waste'!AD103</f>
        <v>79</v>
      </c>
      <c r="N103" s="128">
        <f>'App 6 - Residual Waste'!AE103</f>
        <v>19653</v>
      </c>
      <c r="O103" s="121"/>
      <c r="P103" s="128">
        <f t="shared" si="28"/>
        <v>42591.93</v>
      </c>
      <c r="Q103" s="128">
        <f t="shared" si="28"/>
        <v>21825.93</v>
      </c>
      <c r="R103" s="128">
        <f t="shared" si="28"/>
        <v>20766</v>
      </c>
      <c r="S103" s="129">
        <f t="shared" si="16"/>
        <v>0.51244285008920709</v>
      </c>
      <c r="U103" s="130">
        <f>(P103*1000)/'App 1 - Services'!F103/52</f>
        <v>10.272085792508928</v>
      </c>
      <c r="V103" s="130">
        <f>(P103*1000)/'App 1 - Services'!G103/52</f>
        <v>27.426854303612274</v>
      </c>
      <c r="X103" s="131">
        <f t="shared" si="17"/>
        <v>0.51244285008920709</v>
      </c>
      <c r="Y103" s="132">
        <f t="shared" si="18"/>
        <v>8786.93</v>
      </c>
      <c r="Z103" s="133">
        <f t="shared" si="19"/>
        <v>0.20630504417151324</v>
      </c>
      <c r="AA103" s="132">
        <f t="shared" si="20"/>
        <v>14073</v>
      </c>
      <c r="AB103" s="133">
        <f t="shared" si="21"/>
        <v>0.33041470532093753</v>
      </c>
      <c r="AC103" s="132">
        <f t="shared" si="22"/>
        <v>19732</v>
      </c>
      <c r="AD103" s="133">
        <f t="shared" si="23"/>
        <v>0.46328025050754917</v>
      </c>
      <c r="AF103" s="127">
        <f>'App 4 - Recyclables'!V104+'App 4 - Recyclables'!AB104</f>
        <v>8792.93</v>
      </c>
      <c r="AG103" s="127">
        <f>'App 4 - Recyclables'!W104+'App 4 - Recyclables'!AC104</f>
        <v>8202.93</v>
      </c>
      <c r="AH103" s="127">
        <f>'App 4 - Recyclables'!X104+'App 4 - Recyclables'!AD104</f>
        <v>590</v>
      </c>
      <c r="AI103" s="127">
        <f>'App 5 - Organics'!V103+'App 5 - Organics'!AD103</f>
        <v>14073</v>
      </c>
      <c r="AJ103" s="127">
        <f>'App 5 - Organics'!W103+'App 5 - Organics'!AE103</f>
        <v>13550</v>
      </c>
      <c r="AK103" s="127">
        <f>'App 5 - Organics'!X103+'App 5 - Organics'!AF103</f>
        <v>523</v>
      </c>
      <c r="AL103" s="128">
        <f>'App 6 - Residual Waste'!AC103+'App 6 - Residual Waste'!AI103</f>
        <v>21450</v>
      </c>
      <c r="AM103" s="128">
        <f>'App 6 - Residual Waste'!AD103+'App 6 - Residual Waste'!AJ103</f>
        <v>1797</v>
      </c>
      <c r="AN103" s="128">
        <f>'App 6 - Residual Waste'!AE103+'App 6 - Residual Waste'!AK103</f>
        <v>19653</v>
      </c>
      <c r="AO103" s="121"/>
      <c r="AP103" s="128">
        <f t="shared" si="24"/>
        <v>44315.93</v>
      </c>
      <c r="AQ103" s="128">
        <f t="shared" si="25"/>
        <v>23549.93</v>
      </c>
      <c r="AR103" s="128">
        <f t="shared" si="26"/>
        <v>20766</v>
      </c>
      <c r="AS103" s="129">
        <f t="shared" si="27"/>
        <v>0.53141003697767375</v>
      </c>
    </row>
    <row r="104" spans="1:45" ht="15.75" x14ac:dyDescent="0.25">
      <c r="A104" s="8">
        <v>16950</v>
      </c>
      <c r="B104" s="8" t="s">
        <v>149</v>
      </c>
      <c r="C104" s="8" t="s">
        <v>37</v>
      </c>
      <c r="D104" s="29" t="s">
        <v>2</v>
      </c>
      <c r="E104" s="126"/>
      <c r="F104" s="127">
        <f>'App 4 - Recyclables'!V105</f>
        <v>18202.71</v>
      </c>
      <c r="G104" s="127">
        <f>'App 4 - Recyclables'!W105</f>
        <v>15817.71</v>
      </c>
      <c r="H104" s="127">
        <f>'App 4 - Recyclables'!X105</f>
        <v>2385</v>
      </c>
      <c r="I104" s="127">
        <f>'App 5 - Organics'!V104</f>
        <v>13272.1</v>
      </c>
      <c r="J104" s="127">
        <f>'App 5 - Organics'!W104</f>
        <v>13272.1</v>
      </c>
      <c r="K104" s="127">
        <f>'App 5 - Organics'!X104</f>
        <v>0</v>
      </c>
      <c r="L104" s="128">
        <f>'App 6 - Residual Waste'!AC104</f>
        <v>44479.5</v>
      </c>
      <c r="M104" s="128">
        <f>'App 6 - Residual Waste'!AD104</f>
        <v>2403.2000000000007</v>
      </c>
      <c r="N104" s="128">
        <f>'App 6 - Residual Waste'!AE104</f>
        <v>42076.299999999996</v>
      </c>
      <c r="O104" s="121"/>
      <c r="P104" s="128">
        <f t="shared" si="28"/>
        <v>75954.31</v>
      </c>
      <c r="Q104" s="128">
        <f t="shared" si="28"/>
        <v>31493.01</v>
      </c>
      <c r="R104" s="128">
        <f t="shared" si="28"/>
        <v>44461.299999999996</v>
      </c>
      <c r="S104" s="129">
        <f t="shared" si="16"/>
        <v>0.41463098012476185</v>
      </c>
      <c r="U104" s="130">
        <f>(P104*1000)/'App 1 - Services'!F104/52</f>
        <v>13.291412782131195</v>
      </c>
      <c r="V104" s="130">
        <f>(P104*1000)/'App 1 - Services'!G104/52</f>
        <v>24.389857862882511</v>
      </c>
      <c r="X104" s="131">
        <f t="shared" si="17"/>
        <v>0.41463098012476185</v>
      </c>
      <c r="Y104" s="132">
        <f t="shared" si="18"/>
        <v>18202.71</v>
      </c>
      <c r="Z104" s="133">
        <f t="shared" si="19"/>
        <v>0.23965341795613704</v>
      </c>
      <c r="AA104" s="132">
        <f t="shared" si="20"/>
        <v>13272.1</v>
      </c>
      <c r="AB104" s="133">
        <f t="shared" si="21"/>
        <v>0.17473794443001325</v>
      </c>
      <c r="AC104" s="132">
        <f t="shared" si="22"/>
        <v>44479.5</v>
      </c>
      <c r="AD104" s="133">
        <f t="shared" si="23"/>
        <v>0.58560863761384974</v>
      </c>
      <c r="AF104" s="127">
        <f>'App 4 - Recyclables'!V105+'App 4 - Recyclables'!AB105</f>
        <v>18202.71</v>
      </c>
      <c r="AG104" s="127">
        <f>'App 4 - Recyclables'!W105+'App 4 - Recyclables'!AC105</f>
        <v>15817.71</v>
      </c>
      <c r="AH104" s="127">
        <f>'App 4 - Recyclables'!X105+'App 4 - Recyclables'!AD105</f>
        <v>2385</v>
      </c>
      <c r="AI104" s="127">
        <f>'App 5 - Organics'!V104+'App 5 - Organics'!AD104</f>
        <v>13272.1</v>
      </c>
      <c r="AJ104" s="127">
        <f>'App 5 - Organics'!W104+'App 5 - Organics'!AE104</f>
        <v>13272.1</v>
      </c>
      <c r="AK104" s="127">
        <f>'App 5 - Organics'!X104+'App 5 - Organics'!AF104</f>
        <v>0</v>
      </c>
      <c r="AL104" s="128">
        <f>'App 6 - Residual Waste'!AC104+'App 6 - Residual Waste'!AI104</f>
        <v>45165.83</v>
      </c>
      <c r="AM104" s="128">
        <f>'App 6 - Residual Waste'!AD104+'App 6 - Residual Waste'!AJ104</f>
        <v>2403.2000000000007</v>
      </c>
      <c r="AN104" s="128">
        <f>'App 6 - Residual Waste'!AE104+'App 6 - Residual Waste'!AK104</f>
        <v>42762.63</v>
      </c>
      <c r="AO104" s="121"/>
      <c r="AP104" s="128">
        <f t="shared" si="24"/>
        <v>76640.639999999999</v>
      </c>
      <c r="AQ104" s="128">
        <f t="shared" si="25"/>
        <v>31493.01</v>
      </c>
      <c r="AR104" s="128">
        <f t="shared" si="26"/>
        <v>45147.63</v>
      </c>
      <c r="AS104" s="129">
        <f t="shared" si="27"/>
        <v>0.41091788899466392</v>
      </c>
    </row>
    <row r="105" spans="1:45" ht="15.75" x14ac:dyDescent="0.25">
      <c r="A105" s="8">
        <v>17000</v>
      </c>
      <c r="B105" s="8" t="s">
        <v>150</v>
      </c>
      <c r="C105" s="8" t="s">
        <v>23</v>
      </c>
      <c r="D105" s="29" t="s">
        <v>3</v>
      </c>
      <c r="E105" s="126"/>
      <c r="F105" s="127">
        <f>'App 4 - Recyclables'!V106</f>
        <v>3154.0200000000004</v>
      </c>
      <c r="G105" s="127">
        <f>'App 4 - Recyclables'!W106</f>
        <v>3064.61</v>
      </c>
      <c r="H105" s="127">
        <f>'App 4 - Recyclables'!X106</f>
        <v>89.41</v>
      </c>
      <c r="I105" s="127">
        <f>'App 5 - Organics'!V105</f>
        <v>2429.9299999999998</v>
      </c>
      <c r="J105" s="127">
        <f>'App 5 - Organics'!W105</f>
        <v>2408.12</v>
      </c>
      <c r="K105" s="127">
        <f>'App 5 - Organics'!X105</f>
        <v>21.81</v>
      </c>
      <c r="L105" s="128">
        <f>'App 6 - Residual Waste'!AC105</f>
        <v>9674.69</v>
      </c>
      <c r="M105" s="128">
        <f>'App 6 - Residual Waste'!AD105</f>
        <v>186.61999999999989</v>
      </c>
      <c r="N105" s="128">
        <f>'App 6 - Residual Waste'!AE105</f>
        <v>9488.07</v>
      </c>
      <c r="O105" s="121"/>
      <c r="P105" s="128">
        <f t="shared" si="28"/>
        <v>15258.640000000001</v>
      </c>
      <c r="Q105" s="128">
        <f t="shared" si="28"/>
        <v>5659.3499999999995</v>
      </c>
      <c r="R105" s="128">
        <f t="shared" si="28"/>
        <v>9599.2899999999991</v>
      </c>
      <c r="S105" s="129">
        <f t="shared" si="16"/>
        <v>0.37089478485631738</v>
      </c>
      <c r="U105" s="130">
        <f>(P105*1000)/'App 1 - Services'!F105/52</f>
        <v>11.583585370889967</v>
      </c>
      <c r="V105" s="130">
        <f>(P105*1000)/'App 1 - Services'!G105/52</f>
        <v>25.500598298025956</v>
      </c>
      <c r="X105" s="131">
        <f t="shared" si="17"/>
        <v>0.37089478485631738</v>
      </c>
      <c r="Y105" s="132">
        <f t="shared" si="18"/>
        <v>3154.0200000000004</v>
      </c>
      <c r="Z105" s="133">
        <f t="shared" si="19"/>
        <v>0.20670387400187698</v>
      </c>
      <c r="AA105" s="132">
        <f t="shared" si="20"/>
        <v>2429.9299999999998</v>
      </c>
      <c r="AB105" s="133">
        <f t="shared" si="21"/>
        <v>0.15924944818148928</v>
      </c>
      <c r="AC105" s="132">
        <f t="shared" si="22"/>
        <v>9674.69</v>
      </c>
      <c r="AD105" s="133">
        <f t="shared" si="23"/>
        <v>0.63404667781663371</v>
      </c>
      <c r="AF105" s="127">
        <f>'App 4 - Recyclables'!V106+'App 4 - Recyclables'!AB106</f>
        <v>3154.0200000000004</v>
      </c>
      <c r="AG105" s="127">
        <f>'App 4 - Recyclables'!W106+'App 4 - Recyclables'!AC106</f>
        <v>3064.61</v>
      </c>
      <c r="AH105" s="127">
        <f>'App 4 - Recyclables'!X106+'App 4 - Recyclables'!AD106</f>
        <v>89.41</v>
      </c>
      <c r="AI105" s="127">
        <f>'App 5 - Organics'!V105+'App 5 - Organics'!AD105</f>
        <v>2429.9299999999998</v>
      </c>
      <c r="AJ105" s="127">
        <f>'App 5 - Organics'!W105+'App 5 - Organics'!AE105</f>
        <v>2408.12</v>
      </c>
      <c r="AK105" s="127">
        <f>'App 5 - Organics'!X105+'App 5 - Organics'!AF105</f>
        <v>21.81</v>
      </c>
      <c r="AL105" s="128">
        <f>'App 6 - Residual Waste'!AC105+'App 6 - Residual Waste'!AI105</f>
        <v>9674.69</v>
      </c>
      <c r="AM105" s="128">
        <f>'App 6 - Residual Waste'!AD105+'App 6 - Residual Waste'!AJ105</f>
        <v>186.61999999999989</v>
      </c>
      <c r="AN105" s="128">
        <f>'App 6 - Residual Waste'!AE105+'App 6 - Residual Waste'!AK105</f>
        <v>9488.07</v>
      </c>
      <c r="AO105" s="121"/>
      <c r="AP105" s="128">
        <f t="shared" si="24"/>
        <v>15258.640000000001</v>
      </c>
      <c r="AQ105" s="128">
        <f t="shared" si="25"/>
        <v>5659.3499999999995</v>
      </c>
      <c r="AR105" s="128">
        <f t="shared" si="26"/>
        <v>9599.2899999999991</v>
      </c>
      <c r="AS105" s="129">
        <f t="shared" si="27"/>
        <v>0.37089478485631738</v>
      </c>
    </row>
    <row r="106" spans="1:45" ht="15.75" x14ac:dyDescent="0.25">
      <c r="A106" s="8">
        <v>17040</v>
      </c>
      <c r="B106" s="8" t="s">
        <v>151</v>
      </c>
      <c r="C106" s="8" t="s">
        <v>67</v>
      </c>
      <c r="D106" s="29" t="s">
        <v>1</v>
      </c>
      <c r="E106" s="126"/>
      <c r="F106" s="127">
        <f>'App 4 - Recyclables'!V107</f>
        <v>3462.66</v>
      </c>
      <c r="G106" s="127">
        <f>'App 4 - Recyclables'!W107</f>
        <v>3462.66</v>
      </c>
      <c r="H106" s="127">
        <f>'App 4 - Recyclables'!X107</f>
        <v>0</v>
      </c>
      <c r="I106" s="127">
        <f>'App 5 - Organics'!V106</f>
        <v>1274.9100000000001</v>
      </c>
      <c r="J106" s="127">
        <f>'App 5 - Organics'!W106</f>
        <v>1241.9100000000001</v>
      </c>
      <c r="K106" s="127">
        <f>'App 5 - Organics'!X106</f>
        <v>33</v>
      </c>
      <c r="L106" s="128">
        <f>'App 6 - Residual Waste'!AC106</f>
        <v>12688.890000000001</v>
      </c>
      <c r="M106" s="128">
        <f>'App 6 - Residual Waste'!AD106</f>
        <v>7521.5600000000013</v>
      </c>
      <c r="N106" s="128">
        <f>'App 6 - Residual Waste'!AE106</f>
        <v>5167.33</v>
      </c>
      <c r="O106" s="121"/>
      <c r="P106" s="128">
        <f t="shared" si="28"/>
        <v>17426.46</v>
      </c>
      <c r="Q106" s="128">
        <f t="shared" si="28"/>
        <v>12226.130000000001</v>
      </c>
      <c r="R106" s="128">
        <f t="shared" si="28"/>
        <v>5200.33</v>
      </c>
      <c r="S106" s="129">
        <f t="shared" si="16"/>
        <v>0.70158425750267128</v>
      </c>
      <c r="U106" s="130">
        <f>(P106*1000)/'App 1 - Services'!F106/52</f>
        <v>15.142067177355447</v>
      </c>
      <c r="V106" s="130">
        <f>(P106*1000)/'App 1 - Services'!G106/52</f>
        <v>23.499350029397014</v>
      </c>
      <c r="X106" s="131">
        <f t="shared" si="17"/>
        <v>0.70158425750267128</v>
      </c>
      <c r="Y106" s="132">
        <f t="shared" si="18"/>
        <v>3462.66</v>
      </c>
      <c r="Z106" s="133">
        <f t="shared" si="19"/>
        <v>0.19870128528685688</v>
      </c>
      <c r="AA106" s="132">
        <f t="shared" si="20"/>
        <v>1274.9100000000001</v>
      </c>
      <c r="AB106" s="133">
        <f t="shared" si="21"/>
        <v>7.3159436856366708E-2</v>
      </c>
      <c r="AC106" s="132">
        <f t="shared" si="22"/>
        <v>12688.890000000001</v>
      </c>
      <c r="AD106" s="133">
        <f t="shared" si="23"/>
        <v>0.72813927785677657</v>
      </c>
      <c r="AF106" s="127">
        <f>'App 4 - Recyclables'!V107+'App 4 - Recyclables'!AB107</f>
        <v>3462.66</v>
      </c>
      <c r="AG106" s="127">
        <f>'App 4 - Recyclables'!W107+'App 4 - Recyclables'!AC107</f>
        <v>3462.66</v>
      </c>
      <c r="AH106" s="127">
        <f>'App 4 - Recyclables'!X107+'App 4 - Recyclables'!AD107</f>
        <v>0</v>
      </c>
      <c r="AI106" s="127">
        <f>'App 5 - Organics'!V106+'App 5 - Organics'!AD106</f>
        <v>1274.9100000000001</v>
      </c>
      <c r="AJ106" s="127">
        <f>'App 5 - Organics'!W106+'App 5 - Organics'!AE106</f>
        <v>1241.9100000000001</v>
      </c>
      <c r="AK106" s="127">
        <f>'App 5 - Organics'!X106+'App 5 - Organics'!AF106</f>
        <v>33</v>
      </c>
      <c r="AL106" s="128">
        <f>'App 6 - Residual Waste'!AC106+'App 6 - Residual Waste'!AI106</f>
        <v>12688.890000000001</v>
      </c>
      <c r="AM106" s="128">
        <f>'App 6 - Residual Waste'!AD106+'App 6 - Residual Waste'!AJ106</f>
        <v>7521.5600000000013</v>
      </c>
      <c r="AN106" s="128">
        <f>'App 6 - Residual Waste'!AE106+'App 6 - Residual Waste'!AK106</f>
        <v>5167.33</v>
      </c>
      <c r="AO106" s="121"/>
      <c r="AP106" s="128">
        <f t="shared" si="24"/>
        <v>17426.46</v>
      </c>
      <c r="AQ106" s="128">
        <f t="shared" si="25"/>
        <v>12226.130000000001</v>
      </c>
      <c r="AR106" s="128">
        <f t="shared" si="26"/>
        <v>5200.33</v>
      </c>
      <c r="AS106" s="129">
        <f t="shared" si="27"/>
        <v>0.70158425750267128</v>
      </c>
    </row>
    <row r="107" spans="1:45" ht="15.75" x14ac:dyDescent="0.25">
      <c r="A107" s="8">
        <v>17080</v>
      </c>
      <c r="B107" s="8" t="s">
        <v>152</v>
      </c>
      <c r="C107" s="8" t="s">
        <v>67</v>
      </c>
      <c r="D107" s="29" t="s">
        <v>1</v>
      </c>
      <c r="E107" s="126"/>
      <c r="F107" s="127">
        <f>'App 4 - Recyclables'!V108</f>
        <v>2804.15</v>
      </c>
      <c r="G107" s="127">
        <f>'App 4 - Recyclables'!W108</f>
        <v>2584.15</v>
      </c>
      <c r="H107" s="127">
        <f>'App 4 - Recyclables'!X108</f>
        <v>220</v>
      </c>
      <c r="I107" s="127">
        <f>'App 5 - Organics'!V107</f>
        <v>2051.3900000000003</v>
      </c>
      <c r="J107" s="127">
        <f>'App 5 - Organics'!W107</f>
        <v>2030.0700000000002</v>
      </c>
      <c r="K107" s="127">
        <f>'App 5 - Organics'!X107</f>
        <v>21.32</v>
      </c>
      <c r="L107" s="128">
        <f>'App 6 - Residual Waste'!AC107</f>
        <v>6718.88</v>
      </c>
      <c r="M107" s="128">
        <f>'App 6 - Residual Waste'!AD107</f>
        <v>0</v>
      </c>
      <c r="N107" s="128">
        <f>'App 6 - Residual Waste'!AE107</f>
        <v>6718.88</v>
      </c>
      <c r="O107" s="121"/>
      <c r="P107" s="128">
        <f t="shared" si="28"/>
        <v>11574.420000000002</v>
      </c>
      <c r="Q107" s="128">
        <f t="shared" si="28"/>
        <v>4614.22</v>
      </c>
      <c r="R107" s="128">
        <f t="shared" si="28"/>
        <v>6960.2</v>
      </c>
      <c r="S107" s="129">
        <f t="shared" si="16"/>
        <v>0.3986566929487611</v>
      </c>
      <c r="U107" s="130">
        <f>(P107*1000)/'App 1 - Services'!F107/52</f>
        <v>14.903582189487782</v>
      </c>
      <c r="V107" s="130">
        <f>(P107*1000)/'App 1 - Services'!G107/52</f>
        <v>23.910731550112796</v>
      </c>
      <c r="X107" s="131">
        <f t="shared" si="17"/>
        <v>0.3986566929487611</v>
      </c>
      <c r="Y107" s="132">
        <f t="shared" si="18"/>
        <v>2804.15</v>
      </c>
      <c r="Z107" s="133">
        <f t="shared" si="19"/>
        <v>0.24227131899481785</v>
      </c>
      <c r="AA107" s="132">
        <f t="shared" si="20"/>
        <v>2051.3900000000003</v>
      </c>
      <c r="AB107" s="133">
        <f t="shared" si="21"/>
        <v>0.17723479880633328</v>
      </c>
      <c r="AC107" s="132">
        <f t="shared" si="22"/>
        <v>6718.88</v>
      </c>
      <c r="AD107" s="133">
        <f t="shared" si="23"/>
        <v>0.58049388219884879</v>
      </c>
      <c r="AF107" s="127">
        <f>'App 4 - Recyclables'!V108+'App 4 - Recyclables'!AB108</f>
        <v>2804.15</v>
      </c>
      <c r="AG107" s="127">
        <f>'App 4 - Recyclables'!W108+'App 4 - Recyclables'!AC108</f>
        <v>2584.15</v>
      </c>
      <c r="AH107" s="127">
        <f>'App 4 - Recyclables'!X108+'App 4 - Recyclables'!AD108</f>
        <v>220</v>
      </c>
      <c r="AI107" s="127">
        <f>'App 5 - Organics'!V107+'App 5 - Organics'!AD107</f>
        <v>2401.3900000000003</v>
      </c>
      <c r="AJ107" s="127">
        <f>'App 5 - Organics'!W107+'App 5 - Organics'!AE107</f>
        <v>2380.0700000000002</v>
      </c>
      <c r="AK107" s="127">
        <f>'App 5 - Organics'!X107+'App 5 - Organics'!AF107</f>
        <v>21.32</v>
      </c>
      <c r="AL107" s="128">
        <f>'App 6 - Residual Waste'!AC107+'App 6 - Residual Waste'!AI107</f>
        <v>6718.88</v>
      </c>
      <c r="AM107" s="128">
        <f>'App 6 - Residual Waste'!AD107+'App 6 - Residual Waste'!AJ107</f>
        <v>0</v>
      </c>
      <c r="AN107" s="128">
        <f>'App 6 - Residual Waste'!AE107+'App 6 - Residual Waste'!AK107</f>
        <v>6718.88</v>
      </c>
      <c r="AO107" s="121"/>
      <c r="AP107" s="128">
        <f t="shared" si="24"/>
        <v>11924.420000000002</v>
      </c>
      <c r="AQ107" s="128">
        <f t="shared" si="25"/>
        <v>4964.22</v>
      </c>
      <c r="AR107" s="128">
        <f t="shared" si="26"/>
        <v>6960.2</v>
      </c>
      <c r="AS107" s="129">
        <f t="shared" si="27"/>
        <v>0.41630704051014639</v>
      </c>
    </row>
    <row r="108" spans="1:45" ht="15.75" x14ac:dyDescent="0.25">
      <c r="A108" s="8">
        <v>17100</v>
      </c>
      <c r="B108" s="8" t="s">
        <v>153</v>
      </c>
      <c r="C108" s="8"/>
      <c r="D108" s="29" t="s">
        <v>2</v>
      </c>
      <c r="E108" s="126"/>
      <c r="F108" s="127">
        <f>'App 4 - Recyclables'!V109</f>
        <v>3009.07</v>
      </c>
      <c r="G108" s="127">
        <f>'App 4 - Recyclables'!W109</f>
        <v>2293.0700000000002</v>
      </c>
      <c r="H108" s="127">
        <f>'App 4 - Recyclables'!X109</f>
        <v>716</v>
      </c>
      <c r="I108" s="127">
        <f>'App 5 - Organics'!V108</f>
        <v>2497.44</v>
      </c>
      <c r="J108" s="127">
        <f>'App 5 - Organics'!W108</f>
        <v>2248.44</v>
      </c>
      <c r="K108" s="127">
        <f>'App 5 - Organics'!X108</f>
        <v>249</v>
      </c>
      <c r="L108" s="128">
        <f>'App 6 - Residual Waste'!AC108</f>
        <v>12119.57</v>
      </c>
      <c r="M108" s="128">
        <f>'App 6 - Residual Waste'!AD108</f>
        <v>227.76</v>
      </c>
      <c r="N108" s="128">
        <f>'App 6 - Residual Waste'!AE108</f>
        <v>11891.81</v>
      </c>
      <c r="O108" s="121"/>
      <c r="P108" s="128">
        <f t="shared" si="28"/>
        <v>17626.080000000002</v>
      </c>
      <c r="Q108" s="128">
        <f t="shared" si="28"/>
        <v>4769.2700000000004</v>
      </c>
      <c r="R108" s="128">
        <f t="shared" si="28"/>
        <v>12856.81</v>
      </c>
      <c r="S108" s="129">
        <f t="shared" si="16"/>
        <v>0.27058029919301396</v>
      </c>
      <c r="U108" s="130">
        <f>(P108*1000)/'App 1 - Services'!F108/52</f>
        <v>7.0877190724965908</v>
      </c>
      <c r="V108" s="130">
        <f>(P108*1000)/'App 1 - Services'!G108/52</f>
        <v>16.925304684829328</v>
      </c>
      <c r="X108" s="131">
        <f t="shared" si="17"/>
        <v>0.27058029919301396</v>
      </c>
      <c r="Y108" s="132">
        <f t="shared" si="18"/>
        <v>3009.07</v>
      </c>
      <c r="Z108" s="133">
        <f t="shared" si="19"/>
        <v>0.17071691493514154</v>
      </c>
      <c r="AA108" s="132">
        <f t="shared" si="20"/>
        <v>2497.44</v>
      </c>
      <c r="AB108" s="133">
        <f t="shared" si="21"/>
        <v>0.14169004112088449</v>
      </c>
      <c r="AC108" s="132">
        <f t="shared" si="22"/>
        <v>12119.57</v>
      </c>
      <c r="AD108" s="133">
        <f t="shared" si="23"/>
        <v>0.6875930439439738</v>
      </c>
      <c r="AF108" s="127">
        <f>'App 4 - Recyclables'!V109+'App 4 - Recyclables'!AB109</f>
        <v>3009.07</v>
      </c>
      <c r="AG108" s="127">
        <f>'App 4 - Recyclables'!W109+'App 4 - Recyclables'!AC109</f>
        <v>2293.0700000000002</v>
      </c>
      <c r="AH108" s="127">
        <f>'App 4 - Recyclables'!X109+'App 4 - Recyclables'!AD109</f>
        <v>716</v>
      </c>
      <c r="AI108" s="127">
        <f>'App 5 - Organics'!V108+'App 5 - Organics'!AD108</f>
        <v>2833.2200000000003</v>
      </c>
      <c r="AJ108" s="127">
        <f>'App 5 - Organics'!W108+'App 5 - Organics'!AE108</f>
        <v>2584.2200000000003</v>
      </c>
      <c r="AK108" s="127">
        <f>'App 5 - Organics'!X108+'App 5 - Organics'!AF108</f>
        <v>249</v>
      </c>
      <c r="AL108" s="128">
        <f>'App 6 - Residual Waste'!AC108+'App 6 - Residual Waste'!AI108</f>
        <v>12119.57</v>
      </c>
      <c r="AM108" s="128">
        <f>'App 6 - Residual Waste'!AD108+'App 6 - Residual Waste'!AJ108</f>
        <v>227.76</v>
      </c>
      <c r="AN108" s="128">
        <f>'App 6 - Residual Waste'!AE108+'App 6 - Residual Waste'!AK108</f>
        <v>11891.81</v>
      </c>
      <c r="AO108" s="121"/>
      <c r="AP108" s="128">
        <f t="shared" si="24"/>
        <v>17961.86</v>
      </c>
      <c r="AQ108" s="128">
        <f t="shared" si="25"/>
        <v>5105.0500000000011</v>
      </c>
      <c r="AR108" s="128">
        <f t="shared" si="26"/>
        <v>12856.81</v>
      </c>
      <c r="AS108" s="129">
        <f t="shared" si="27"/>
        <v>0.28421611124905777</v>
      </c>
    </row>
    <row r="109" spans="1:45" ht="15.75" x14ac:dyDescent="0.25">
      <c r="A109" s="8">
        <v>17150</v>
      </c>
      <c r="B109" s="8" t="s">
        <v>154</v>
      </c>
      <c r="C109" s="8" t="s">
        <v>17</v>
      </c>
      <c r="D109" s="29" t="s">
        <v>2</v>
      </c>
      <c r="E109" s="126"/>
      <c r="F109" s="127">
        <f>'App 4 - Recyclables'!V110</f>
        <v>22971.64</v>
      </c>
      <c r="G109" s="127">
        <f>'App 4 - Recyclables'!W110</f>
        <v>21070.639999999999</v>
      </c>
      <c r="H109" s="127">
        <f>'App 4 - Recyclables'!X110</f>
        <v>1901</v>
      </c>
      <c r="I109" s="127">
        <f>'App 5 - Organics'!V109</f>
        <v>29897</v>
      </c>
      <c r="J109" s="127">
        <f>'App 5 - Organics'!W109</f>
        <v>29897</v>
      </c>
      <c r="K109" s="127">
        <f>'App 5 - Organics'!X109</f>
        <v>0</v>
      </c>
      <c r="L109" s="128">
        <f>'App 6 - Residual Waste'!AC109</f>
        <v>56777</v>
      </c>
      <c r="M109" s="128">
        <f>'App 6 - Residual Waste'!AD109</f>
        <v>159</v>
      </c>
      <c r="N109" s="128">
        <f>'App 6 - Residual Waste'!AE109</f>
        <v>56618</v>
      </c>
      <c r="O109" s="121"/>
      <c r="P109" s="128">
        <f t="shared" si="28"/>
        <v>109645.64</v>
      </c>
      <c r="Q109" s="128">
        <f t="shared" si="28"/>
        <v>51126.64</v>
      </c>
      <c r="R109" s="128">
        <f t="shared" si="28"/>
        <v>58519</v>
      </c>
      <c r="S109" s="129">
        <f t="shared" si="16"/>
        <v>0.46628976765514796</v>
      </c>
      <c r="U109" s="130">
        <f>(P109*1000)/'App 1 - Services'!F109/52</f>
        <v>8.9715311727488949</v>
      </c>
      <c r="V109" s="130">
        <f>(P109*1000)/'App 1 - Services'!G109/52</f>
        <v>23.56655080303555</v>
      </c>
      <c r="X109" s="131">
        <f t="shared" si="17"/>
        <v>0.46628976765514796</v>
      </c>
      <c r="Y109" s="132">
        <f t="shared" si="18"/>
        <v>22971.64</v>
      </c>
      <c r="Z109" s="133">
        <f t="shared" si="19"/>
        <v>0.20950801144486911</v>
      </c>
      <c r="AA109" s="132">
        <f t="shared" si="20"/>
        <v>29897</v>
      </c>
      <c r="AB109" s="133">
        <f t="shared" si="21"/>
        <v>0.27266930084953672</v>
      </c>
      <c r="AC109" s="132">
        <f t="shared" si="22"/>
        <v>56777</v>
      </c>
      <c r="AD109" s="133">
        <f t="shared" si="23"/>
        <v>0.51782268770559414</v>
      </c>
      <c r="AF109" s="127">
        <f>'App 4 - Recyclables'!V110+'App 4 - Recyclables'!AB110</f>
        <v>22971.64</v>
      </c>
      <c r="AG109" s="127">
        <f>'App 4 - Recyclables'!W110+'App 4 - Recyclables'!AC110</f>
        <v>21070.639999999999</v>
      </c>
      <c r="AH109" s="127">
        <f>'App 4 - Recyclables'!X110+'App 4 - Recyclables'!AD110</f>
        <v>1901</v>
      </c>
      <c r="AI109" s="127">
        <f>'App 5 - Organics'!V109+'App 5 - Organics'!AD109</f>
        <v>31901</v>
      </c>
      <c r="AJ109" s="127">
        <f>'App 5 - Organics'!W109+'App 5 - Organics'!AE109</f>
        <v>31901</v>
      </c>
      <c r="AK109" s="127">
        <f>'App 5 - Organics'!X109+'App 5 - Organics'!AF109</f>
        <v>0</v>
      </c>
      <c r="AL109" s="128">
        <f>'App 6 - Residual Waste'!AC109+'App 6 - Residual Waste'!AI109</f>
        <v>56777</v>
      </c>
      <c r="AM109" s="128">
        <f>'App 6 - Residual Waste'!AD109+'App 6 - Residual Waste'!AJ109</f>
        <v>159</v>
      </c>
      <c r="AN109" s="128">
        <f>'App 6 - Residual Waste'!AE109+'App 6 - Residual Waste'!AK109</f>
        <v>56618</v>
      </c>
      <c r="AO109" s="121"/>
      <c r="AP109" s="128">
        <f t="shared" si="24"/>
        <v>111649.64</v>
      </c>
      <c r="AQ109" s="128">
        <f t="shared" si="25"/>
        <v>53130.64</v>
      </c>
      <c r="AR109" s="128">
        <f t="shared" si="26"/>
        <v>58519</v>
      </c>
      <c r="AS109" s="129">
        <f t="shared" si="27"/>
        <v>0.47586933553928162</v>
      </c>
    </row>
    <row r="110" spans="1:45" ht="15.75" x14ac:dyDescent="0.25">
      <c r="A110" s="8">
        <v>17200</v>
      </c>
      <c r="B110" s="8" t="s">
        <v>61</v>
      </c>
      <c r="C110" s="8" t="s">
        <v>17</v>
      </c>
      <c r="D110" s="29" t="s">
        <v>2</v>
      </c>
      <c r="E110" s="126"/>
      <c r="F110" s="127">
        <f>'App 4 - Recyclables'!V111</f>
        <v>15108.609999999999</v>
      </c>
      <c r="G110" s="127">
        <f>'App 4 - Recyclables'!W111</f>
        <v>13880.609999999999</v>
      </c>
      <c r="H110" s="127">
        <f>'App 4 - Recyclables'!X111</f>
        <v>1228</v>
      </c>
      <c r="I110" s="127">
        <f>'App 5 - Organics'!V110</f>
        <v>2279</v>
      </c>
      <c r="J110" s="127">
        <f>'App 5 - Organics'!W110</f>
        <v>2179</v>
      </c>
      <c r="K110" s="127">
        <f>'App 5 - Organics'!X110</f>
        <v>100</v>
      </c>
      <c r="L110" s="128">
        <f>'App 6 - Residual Waste'!AC110</f>
        <v>46557.4</v>
      </c>
      <c r="M110" s="128">
        <f>'App 6 - Residual Waste'!AD110</f>
        <v>15960.4</v>
      </c>
      <c r="N110" s="128">
        <f>'App 6 - Residual Waste'!AE110</f>
        <v>30597</v>
      </c>
      <c r="O110" s="121"/>
      <c r="P110" s="128">
        <f t="shared" si="28"/>
        <v>63945.01</v>
      </c>
      <c r="Q110" s="128">
        <f t="shared" si="28"/>
        <v>32020.01</v>
      </c>
      <c r="R110" s="128">
        <f t="shared" si="28"/>
        <v>31925</v>
      </c>
      <c r="S110" s="129">
        <f t="shared" si="16"/>
        <v>0.50074290394199639</v>
      </c>
      <c r="U110" s="130">
        <f>(P110*1000)/'App 1 - Services'!F110/52</f>
        <v>5.3214462614318077</v>
      </c>
      <c r="V110" s="130">
        <f>(P110*1000)/'App 1 - Services'!G110/52</f>
        <v>9.2955055957641157</v>
      </c>
      <c r="X110" s="131">
        <f t="shared" si="17"/>
        <v>0.50074290394199639</v>
      </c>
      <c r="Y110" s="132">
        <f t="shared" si="18"/>
        <v>15108.609999999999</v>
      </c>
      <c r="Z110" s="133">
        <f t="shared" si="19"/>
        <v>0.23627504319727213</v>
      </c>
      <c r="AA110" s="132">
        <f t="shared" si="20"/>
        <v>2279</v>
      </c>
      <c r="AB110" s="133">
        <f t="shared" si="21"/>
        <v>3.5639997554148477E-2</v>
      </c>
      <c r="AC110" s="132">
        <f t="shared" si="22"/>
        <v>46557.4</v>
      </c>
      <c r="AD110" s="133">
        <f t="shared" si="23"/>
        <v>0.72808495924857941</v>
      </c>
      <c r="AF110" s="127">
        <f>'App 4 - Recyclables'!V111+'App 4 - Recyclables'!AB111</f>
        <v>15108.609999999999</v>
      </c>
      <c r="AG110" s="127">
        <f>'App 4 - Recyclables'!W111+'App 4 - Recyclables'!AC111</f>
        <v>13880.609999999999</v>
      </c>
      <c r="AH110" s="127">
        <f>'App 4 - Recyclables'!X111+'App 4 - Recyclables'!AD111</f>
        <v>1228</v>
      </c>
      <c r="AI110" s="127">
        <f>'App 5 - Organics'!V110+'App 5 - Organics'!AD110</f>
        <v>5059</v>
      </c>
      <c r="AJ110" s="127">
        <f>'App 5 - Organics'!W110+'App 5 - Organics'!AE110</f>
        <v>4959</v>
      </c>
      <c r="AK110" s="127">
        <f>'App 5 - Organics'!X110+'App 5 - Organics'!AF110</f>
        <v>100</v>
      </c>
      <c r="AL110" s="128">
        <f>'App 6 - Residual Waste'!AC110+'App 6 - Residual Waste'!AI110</f>
        <v>47499.4</v>
      </c>
      <c r="AM110" s="128">
        <f>'App 6 - Residual Waste'!AD110+'App 6 - Residual Waste'!AJ110</f>
        <v>16806.400000000001</v>
      </c>
      <c r="AN110" s="128">
        <f>'App 6 - Residual Waste'!AE110+'App 6 - Residual Waste'!AK110</f>
        <v>30693</v>
      </c>
      <c r="AO110" s="121"/>
      <c r="AP110" s="128">
        <f t="shared" si="24"/>
        <v>67667.010000000009</v>
      </c>
      <c r="AQ110" s="128">
        <f t="shared" si="25"/>
        <v>35646.01</v>
      </c>
      <c r="AR110" s="128">
        <f t="shared" si="26"/>
        <v>32021</v>
      </c>
      <c r="AS110" s="129">
        <f t="shared" si="27"/>
        <v>0.52678565226984309</v>
      </c>
    </row>
    <row r="111" spans="1:45" ht="15.75" x14ac:dyDescent="0.25">
      <c r="A111" s="8">
        <v>17310</v>
      </c>
      <c r="B111" s="8" t="s">
        <v>155</v>
      </c>
      <c r="C111" s="8" t="s">
        <v>16</v>
      </c>
      <c r="D111" s="29" t="s">
        <v>1</v>
      </c>
      <c r="E111" s="126"/>
      <c r="F111" s="127">
        <f>'App 4 - Recyclables'!V112</f>
        <v>6681.6500000000005</v>
      </c>
      <c r="G111" s="127">
        <f>'App 4 - Recyclables'!W112</f>
        <v>6670.35</v>
      </c>
      <c r="H111" s="127">
        <f>'App 4 - Recyclables'!X112</f>
        <v>11.3</v>
      </c>
      <c r="I111" s="127">
        <f>'App 5 - Organics'!V111</f>
        <v>7920.8</v>
      </c>
      <c r="J111" s="127">
        <f>'App 5 - Organics'!W111</f>
        <v>7917.2</v>
      </c>
      <c r="K111" s="127">
        <f>'App 5 - Organics'!X111</f>
        <v>3.6</v>
      </c>
      <c r="L111" s="128">
        <f>'App 6 - Residual Waste'!AC111</f>
        <v>19217.96</v>
      </c>
      <c r="M111" s="128">
        <f>'App 6 - Residual Waste'!AD111</f>
        <v>8.0999999999999091</v>
      </c>
      <c r="N111" s="128">
        <f>'App 6 - Residual Waste'!AE111</f>
        <v>19209.86</v>
      </c>
      <c r="O111" s="121"/>
      <c r="P111" s="128">
        <f t="shared" si="28"/>
        <v>33820.410000000003</v>
      </c>
      <c r="Q111" s="128">
        <f t="shared" si="28"/>
        <v>14595.65</v>
      </c>
      <c r="R111" s="128">
        <f t="shared" si="28"/>
        <v>19224.760000000002</v>
      </c>
      <c r="S111" s="129">
        <f t="shared" si="16"/>
        <v>0.43156336661796818</v>
      </c>
      <c r="U111" s="130">
        <f>(P111*1000)/'App 1 - Services'!F111/52</f>
        <v>9.96831223370015</v>
      </c>
      <c r="V111" s="130">
        <f>(P111*1000)/'App 1 - Services'!G111/52</f>
        <v>22.37178384700055</v>
      </c>
      <c r="X111" s="131">
        <f t="shared" si="17"/>
        <v>0.43156336661796818</v>
      </c>
      <c r="Y111" s="132">
        <f t="shared" si="18"/>
        <v>6681.6500000000005</v>
      </c>
      <c r="Z111" s="133">
        <f t="shared" si="19"/>
        <v>0.19756265521322774</v>
      </c>
      <c r="AA111" s="132">
        <f t="shared" si="20"/>
        <v>7920.8</v>
      </c>
      <c r="AB111" s="133">
        <f t="shared" si="21"/>
        <v>0.23420177342616483</v>
      </c>
      <c r="AC111" s="132">
        <f t="shared" si="22"/>
        <v>19217.96</v>
      </c>
      <c r="AD111" s="133">
        <f t="shared" si="23"/>
        <v>0.56823557136060732</v>
      </c>
      <c r="AF111" s="127">
        <f>'App 4 - Recyclables'!V112+'App 4 - Recyclables'!AB112</f>
        <v>6681.6500000000005</v>
      </c>
      <c r="AG111" s="127">
        <f>'App 4 - Recyclables'!W112+'App 4 - Recyclables'!AC112</f>
        <v>6670.35</v>
      </c>
      <c r="AH111" s="127">
        <f>'App 4 - Recyclables'!X112+'App 4 - Recyclables'!AD112</f>
        <v>11.3</v>
      </c>
      <c r="AI111" s="127">
        <f>'App 5 - Organics'!V111+'App 5 - Organics'!AD111</f>
        <v>7920.8</v>
      </c>
      <c r="AJ111" s="127">
        <f>'App 5 - Organics'!W111+'App 5 - Organics'!AE111</f>
        <v>7917.2</v>
      </c>
      <c r="AK111" s="127">
        <f>'App 5 - Organics'!X111+'App 5 - Organics'!AF111</f>
        <v>3.6</v>
      </c>
      <c r="AL111" s="128">
        <f>'App 6 - Residual Waste'!AC111+'App 6 - Residual Waste'!AI111</f>
        <v>19937.96</v>
      </c>
      <c r="AM111" s="128">
        <f>'App 6 - Residual Waste'!AD111+'App 6 - Residual Waste'!AJ111</f>
        <v>8.0999999999999091</v>
      </c>
      <c r="AN111" s="128">
        <f>'App 6 - Residual Waste'!AE111+'App 6 - Residual Waste'!AK111</f>
        <v>19929.86</v>
      </c>
      <c r="AO111" s="121"/>
      <c r="AP111" s="128">
        <f t="shared" si="24"/>
        <v>34540.410000000003</v>
      </c>
      <c r="AQ111" s="128">
        <f t="shared" si="25"/>
        <v>14595.65</v>
      </c>
      <c r="AR111" s="128">
        <f t="shared" si="26"/>
        <v>19944.760000000002</v>
      </c>
      <c r="AS111" s="129">
        <f t="shared" si="27"/>
        <v>0.42256736385005267</v>
      </c>
    </row>
    <row r="112" spans="1:45" ht="15.75" x14ac:dyDescent="0.25">
      <c r="A112" s="8">
        <v>17350</v>
      </c>
      <c r="B112" s="8" t="s">
        <v>156</v>
      </c>
      <c r="C112" s="8" t="s">
        <v>21</v>
      </c>
      <c r="D112" s="29" t="s">
        <v>1</v>
      </c>
      <c r="E112" s="126"/>
      <c r="F112" s="127">
        <f>'App 4 - Recyclables'!V113</f>
        <v>200.64</v>
      </c>
      <c r="G112" s="127">
        <f>'App 4 - Recyclables'!W113</f>
        <v>200.64</v>
      </c>
      <c r="H112" s="127">
        <f>'App 4 - Recyclables'!X113</f>
        <v>0</v>
      </c>
      <c r="I112" s="127">
        <f>'App 5 - Organics'!V112</f>
        <v>5</v>
      </c>
      <c r="J112" s="127">
        <f>'App 5 - Organics'!W112</f>
        <v>0</v>
      </c>
      <c r="K112" s="127">
        <f>'App 5 - Organics'!X112</f>
        <v>5</v>
      </c>
      <c r="L112" s="128">
        <f>'App 6 - Residual Waste'!AC112</f>
        <v>5165</v>
      </c>
      <c r="M112" s="128">
        <f>'App 6 - Residual Waste'!AD112</f>
        <v>650</v>
      </c>
      <c r="N112" s="128">
        <f>'App 6 - Residual Waste'!AE112</f>
        <v>4515</v>
      </c>
      <c r="O112" s="121"/>
      <c r="P112" s="128">
        <f t="shared" si="28"/>
        <v>5370.64</v>
      </c>
      <c r="Q112" s="128">
        <f t="shared" si="28"/>
        <v>850.64</v>
      </c>
      <c r="R112" s="128">
        <f t="shared" si="28"/>
        <v>4520</v>
      </c>
      <c r="S112" s="129">
        <f t="shared" si="16"/>
        <v>0.15838708235889948</v>
      </c>
      <c r="U112" s="130">
        <f>(P112*1000)/'App 1 - Services'!F112/52</f>
        <v>17.130790920805847</v>
      </c>
      <c r="V112" s="130">
        <f>(P112*1000)/'App 1 - Services'!G112/52</f>
        <v>26.482445759368836</v>
      </c>
      <c r="X112" s="131">
        <f t="shared" si="17"/>
        <v>0.15838708235889948</v>
      </c>
      <c r="Y112" s="132">
        <f t="shared" si="18"/>
        <v>200.64</v>
      </c>
      <c r="Z112" s="133">
        <f t="shared" si="19"/>
        <v>3.7358676060953624E-2</v>
      </c>
      <c r="AA112" s="132">
        <f t="shared" si="20"/>
        <v>5</v>
      </c>
      <c r="AB112" s="133">
        <f t="shared" si="21"/>
        <v>9.3098774075342971E-4</v>
      </c>
      <c r="AC112" s="132">
        <f t="shared" si="22"/>
        <v>5165</v>
      </c>
      <c r="AD112" s="133">
        <f t="shared" si="23"/>
        <v>0.96171033619829294</v>
      </c>
      <c r="AF112" s="127">
        <f>'App 4 - Recyclables'!V113+'App 4 - Recyclables'!AB113</f>
        <v>200.64</v>
      </c>
      <c r="AG112" s="127">
        <f>'App 4 - Recyclables'!W113+'App 4 - Recyclables'!AC113</f>
        <v>200.64</v>
      </c>
      <c r="AH112" s="127">
        <f>'App 4 - Recyclables'!X113+'App 4 - Recyclables'!AD113</f>
        <v>0</v>
      </c>
      <c r="AI112" s="127">
        <f>'App 5 - Organics'!V112+'App 5 - Organics'!AD112</f>
        <v>5</v>
      </c>
      <c r="AJ112" s="127">
        <f>'App 5 - Organics'!W112+'App 5 - Organics'!AE112</f>
        <v>0</v>
      </c>
      <c r="AK112" s="127">
        <f>'App 5 - Organics'!X112+'App 5 - Organics'!AF112</f>
        <v>5</v>
      </c>
      <c r="AL112" s="128">
        <f>'App 6 - Residual Waste'!AC112+'App 6 - Residual Waste'!AI112</f>
        <v>5165</v>
      </c>
      <c r="AM112" s="128">
        <f>'App 6 - Residual Waste'!AD112+'App 6 - Residual Waste'!AJ112</f>
        <v>650</v>
      </c>
      <c r="AN112" s="128">
        <f>'App 6 - Residual Waste'!AE112+'App 6 - Residual Waste'!AK112</f>
        <v>4515</v>
      </c>
      <c r="AO112" s="121"/>
      <c r="AP112" s="128">
        <f t="shared" si="24"/>
        <v>5370.64</v>
      </c>
      <c r="AQ112" s="128">
        <f t="shared" si="25"/>
        <v>850.64</v>
      </c>
      <c r="AR112" s="128">
        <f t="shared" si="26"/>
        <v>4520</v>
      </c>
      <c r="AS112" s="129">
        <f t="shared" si="27"/>
        <v>0.15838708235889948</v>
      </c>
    </row>
    <row r="113" spans="1:45" ht="15.75" x14ac:dyDescent="0.25">
      <c r="A113" s="8">
        <v>17400</v>
      </c>
      <c r="B113" s="8" t="s">
        <v>157</v>
      </c>
      <c r="C113" s="8" t="s">
        <v>16</v>
      </c>
      <c r="D113" s="29" t="s">
        <v>1</v>
      </c>
      <c r="E113" s="126"/>
      <c r="F113" s="127">
        <f>'App 4 - Recyclables'!V114</f>
        <v>1025.2200000000003</v>
      </c>
      <c r="G113" s="127">
        <f>'App 4 - Recyclables'!W114</f>
        <v>1024.2200000000003</v>
      </c>
      <c r="H113" s="127">
        <f>'App 4 - Recyclables'!X114</f>
        <v>1</v>
      </c>
      <c r="I113" s="127">
        <f>'App 5 - Organics'!V113</f>
        <v>180</v>
      </c>
      <c r="J113" s="127">
        <f>'App 5 - Organics'!W113</f>
        <v>180</v>
      </c>
      <c r="K113" s="127">
        <f>'App 5 - Organics'!X113</f>
        <v>0</v>
      </c>
      <c r="L113" s="128">
        <f>'App 6 - Residual Waste'!AC113</f>
        <v>2183</v>
      </c>
      <c r="M113" s="128">
        <f>'App 6 - Residual Waste'!AD113</f>
        <v>0</v>
      </c>
      <c r="N113" s="128">
        <f>'App 6 - Residual Waste'!AE113</f>
        <v>2183</v>
      </c>
      <c r="O113" s="121"/>
      <c r="P113" s="128">
        <f t="shared" si="28"/>
        <v>3388.2200000000003</v>
      </c>
      <c r="Q113" s="128">
        <f t="shared" si="28"/>
        <v>1204.2200000000003</v>
      </c>
      <c r="R113" s="128">
        <f t="shared" si="28"/>
        <v>2184</v>
      </c>
      <c r="S113" s="129">
        <f t="shared" si="16"/>
        <v>0.35541375707598682</v>
      </c>
      <c r="U113" s="130">
        <f>(P113*1000)/'App 1 - Services'!F113/52</f>
        <v>9.3443391543205117</v>
      </c>
      <c r="V113" s="130">
        <f>(P113*1000)/'App 1 - Services'!G113/52</f>
        <v>13.195236314920399</v>
      </c>
      <c r="X113" s="131">
        <f t="shared" si="17"/>
        <v>0.35541375707598682</v>
      </c>
      <c r="Y113" s="132">
        <f t="shared" si="18"/>
        <v>1025.2200000000003</v>
      </c>
      <c r="Z113" s="133">
        <f t="shared" si="19"/>
        <v>0.30258365749567623</v>
      </c>
      <c r="AA113" s="132">
        <f t="shared" si="20"/>
        <v>180</v>
      </c>
      <c r="AB113" s="133">
        <f t="shared" si="21"/>
        <v>5.3125239801429656E-2</v>
      </c>
      <c r="AC113" s="132">
        <f t="shared" si="22"/>
        <v>2183</v>
      </c>
      <c r="AD113" s="133">
        <f t="shared" si="23"/>
        <v>0.64429110270289414</v>
      </c>
      <c r="AF113" s="127">
        <f>'App 4 - Recyclables'!V114+'App 4 - Recyclables'!AB114</f>
        <v>1025.2200000000003</v>
      </c>
      <c r="AG113" s="127">
        <f>'App 4 - Recyclables'!W114+'App 4 - Recyclables'!AC114</f>
        <v>1024.2200000000003</v>
      </c>
      <c r="AH113" s="127">
        <f>'App 4 - Recyclables'!X114+'App 4 - Recyclables'!AD114</f>
        <v>1</v>
      </c>
      <c r="AI113" s="127">
        <f>'App 5 - Organics'!V113+'App 5 - Organics'!AD113</f>
        <v>195</v>
      </c>
      <c r="AJ113" s="127">
        <f>'App 5 - Organics'!W113+'App 5 - Organics'!AE113</f>
        <v>195</v>
      </c>
      <c r="AK113" s="127">
        <f>'App 5 - Organics'!X113+'App 5 - Organics'!AF113</f>
        <v>0</v>
      </c>
      <c r="AL113" s="128">
        <f>'App 6 - Residual Waste'!AC113+'App 6 - Residual Waste'!AI113</f>
        <v>2253</v>
      </c>
      <c r="AM113" s="128">
        <f>'App 6 - Residual Waste'!AD113+'App 6 - Residual Waste'!AJ113</f>
        <v>0</v>
      </c>
      <c r="AN113" s="128">
        <f>'App 6 - Residual Waste'!AE113+'App 6 - Residual Waste'!AK113</f>
        <v>2253</v>
      </c>
      <c r="AO113" s="121"/>
      <c r="AP113" s="128">
        <f t="shared" si="24"/>
        <v>3473.2200000000003</v>
      </c>
      <c r="AQ113" s="128">
        <f t="shared" si="25"/>
        <v>1219.2200000000003</v>
      </c>
      <c r="AR113" s="128">
        <f t="shared" si="26"/>
        <v>2254</v>
      </c>
      <c r="AS113" s="129">
        <f t="shared" si="27"/>
        <v>0.35103448672989335</v>
      </c>
    </row>
    <row r="114" spans="1:45" ht="15.75" x14ac:dyDescent="0.25">
      <c r="A114" s="8">
        <v>17420</v>
      </c>
      <c r="B114" s="8" t="s">
        <v>158</v>
      </c>
      <c r="C114" s="8" t="s">
        <v>18</v>
      </c>
      <c r="D114" s="29" t="s">
        <v>2</v>
      </c>
      <c r="E114" s="126"/>
      <c r="F114" s="127">
        <f>'App 4 - Recyclables'!V115</f>
        <v>14714.3</v>
      </c>
      <c r="G114" s="127">
        <f>'App 4 - Recyclables'!W115</f>
        <v>13126.249999999998</v>
      </c>
      <c r="H114" s="127">
        <f>'App 4 - Recyclables'!X115</f>
        <v>1588.05</v>
      </c>
      <c r="I114" s="127">
        <f>'App 5 - Organics'!V114</f>
        <v>19401.59</v>
      </c>
      <c r="J114" s="127">
        <f>'App 5 - Organics'!W114</f>
        <v>19306.22</v>
      </c>
      <c r="K114" s="127">
        <f>'App 5 - Organics'!X114</f>
        <v>95.37</v>
      </c>
      <c r="L114" s="128">
        <f>'App 6 - Residual Waste'!AC114</f>
        <v>49671.09</v>
      </c>
      <c r="M114" s="128">
        <f>'App 6 - Residual Waste'!AD114</f>
        <v>0</v>
      </c>
      <c r="N114" s="128">
        <f>'App 6 - Residual Waste'!AE114</f>
        <v>49671.09</v>
      </c>
      <c r="O114" s="121"/>
      <c r="P114" s="128">
        <f t="shared" si="28"/>
        <v>83786.98</v>
      </c>
      <c r="Q114" s="128">
        <f t="shared" si="28"/>
        <v>32432.47</v>
      </c>
      <c r="R114" s="128">
        <f t="shared" si="28"/>
        <v>51354.509999999995</v>
      </c>
      <c r="S114" s="129">
        <f t="shared" si="16"/>
        <v>0.38708245600927499</v>
      </c>
      <c r="U114" s="130">
        <f>(P114*1000)/'App 1 - Services'!F114/52</f>
        <v>7.748104563510485</v>
      </c>
      <c r="V114" s="130">
        <f>(P114*1000)/'App 1 - Services'!G114/52</f>
        <v>21.965919744295839</v>
      </c>
      <c r="X114" s="131">
        <f t="shared" si="17"/>
        <v>0.38708245600927499</v>
      </c>
      <c r="Y114" s="132">
        <f t="shared" si="18"/>
        <v>14714.3</v>
      </c>
      <c r="Z114" s="133">
        <f t="shared" si="19"/>
        <v>0.17561559087103987</v>
      </c>
      <c r="AA114" s="132">
        <f t="shared" si="20"/>
        <v>19401.59</v>
      </c>
      <c r="AB114" s="133">
        <f t="shared" si="21"/>
        <v>0.23155853093165552</v>
      </c>
      <c r="AC114" s="132">
        <f t="shared" si="22"/>
        <v>49671.09</v>
      </c>
      <c r="AD114" s="133">
        <f t="shared" si="23"/>
        <v>0.59282587819730459</v>
      </c>
      <c r="AF114" s="127">
        <f>'App 4 - Recyclables'!V115+'App 4 - Recyclables'!AB115</f>
        <v>14714.3</v>
      </c>
      <c r="AG114" s="127">
        <f>'App 4 - Recyclables'!W115+'App 4 - Recyclables'!AC115</f>
        <v>13126.249999999998</v>
      </c>
      <c r="AH114" s="127">
        <f>'App 4 - Recyclables'!X115+'App 4 - Recyclables'!AD115</f>
        <v>1588.05</v>
      </c>
      <c r="AI114" s="127">
        <f>'App 5 - Organics'!V114+'App 5 - Organics'!AD114</f>
        <v>19401.59</v>
      </c>
      <c r="AJ114" s="127">
        <f>'App 5 - Organics'!W114+'App 5 - Organics'!AE114</f>
        <v>19306.22</v>
      </c>
      <c r="AK114" s="127">
        <f>'App 5 - Organics'!X114+'App 5 - Organics'!AF114</f>
        <v>95.37</v>
      </c>
      <c r="AL114" s="128">
        <f>'App 6 - Residual Waste'!AC114+'App 6 - Residual Waste'!AI114</f>
        <v>49671.09</v>
      </c>
      <c r="AM114" s="128">
        <f>'App 6 - Residual Waste'!AD114+'App 6 - Residual Waste'!AJ114</f>
        <v>0</v>
      </c>
      <c r="AN114" s="128">
        <f>'App 6 - Residual Waste'!AE114+'App 6 - Residual Waste'!AK114</f>
        <v>49671.09</v>
      </c>
      <c r="AO114" s="121"/>
      <c r="AP114" s="128">
        <f t="shared" si="24"/>
        <v>83786.98</v>
      </c>
      <c r="AQ114" s="128">
        <f t="shared" si="25"/>
        <v>32432.47</v>
      </c>
      <c r="AR114" s="128">
        <f t="shared" si="26"/>
        <v>51354.509999999995</v>
      </c>
      <c r="AS114" s="129">
        <f t="shared" si="27"/>
        <v>0.38708245600927499</v>
      </c>
    </row>
    <row r="115" spans="1:45" ht="15.75" x14ac:dyDescent="0.25">
      <c r="A115" s="8">
        <v>17550</v>
      </c>
      <c r="B115" s="8" t="s">
        <v>159</v>
      </c>
      <c r="C115" s="8" t="s">
        <v>19</v>
      </c>
      <c r="D115" s="29" t="s">
        <v>3</v>
      </c>
      <c r="E115" s="126"/>
      <c r="F115" s="127">
        <f>'App 4 - Recyclables'!V116</f>
        <v>12660.978000000001</v>
      </c>
      <c r="G115" s="127">
        <f>'App 4 - Recyclables'!W116</f>
        <v>11479.978000000001</v>
      </c>
      <c r="H115" s="127">
        <f>'App 4 - Recyclables'!X116</f>
        <v>1181</v>
      </c>
      <c r="I115" s="127">
        <f>'App 5 - Organics'!V115</f>
        <v>14228</v>
      </c>
      <c r="J115" s="127">
        <f>'App 5 - Organics'!W115</f>
        <v>14108</v>
      </c>
      <c r="K115" s="127">
        <f>'App 5 - Organics'!X115</f>
        <v>120</v>
      </c>
      <c r="L115" s="128">
        <f>'App 6 - Residual Waste'!AC115</f>
        <v>20679.5</v>
      </c>
      <c r="M115" s="128">
        <f>'App 6 - Residual Waste'!AD115</f>
        <v>8</v>
      </c>
      <c r="N115" s="128">
        <f>'App 6 - Residual Waste'!AE115</f>
        <v>20671.5</v>
      </c>
      <c r="O115" s="121"/>
      <c r="P115" s="128">
        <f t="shared" si="28"/>
        <v>47568.478000000003</v>
      </c>
      <c r="Q115" s="128">
        <f t="shared" si="28"/>
        <v>25595.978000000003</v>
      </c>
      <c r="R115" s="128">
        <f t="shared" si="28"/>
        <v>21972.5</v>
      </c>
      <c r="S115" s="129">
        <f t="shared" si="16"/>
        <v>0.53808696591049221</v>
      </c>
      <c r="U115" s="130">
        <f>(P115*1000)/'App 1 - Services'!F115/52</f>
        <v>9.24326718074634</v>
      </c>
      <c r="V115" s="130">
        <f>(P115*1000)/'App 1 - Services'!G115/52</f>
        <v>18.528658991653462</v>
      </c>
      <c r="X115" s="131">
        <f t="shared" si="17"/>
        <v>0.53808696591049221</v>
      </c>
      <c r="Y115" s="132">
        <f t="shared" si="18"/>
        <v>12660.978000000001</v>
      </c>
      <c r="Z115" s="133">
        <f t="shared" si="19"/>
        <v>0.26616319319697385</v>
      </c>
      <c r="AA115" s="132">
        <f t="shared" si="20"/>
        <v>14228</v>
      </c>
      <c r="AB115" s="133">
        <f t="shared" si="21"/>
        <v>0.29910563882241509</v>
      </c>
      <c r="AC115" s="132">
        <f t="shared" si="22"/>
        <v>20679.5</v>
      </c>
      <c r="AD115" s="133">
        <f t="shared" si="23"/>
        <v>0.43473116798061101</v>
      </c>
      <c r="AF115" s="127">
        <f>'App 4 - Recyclables'!V116+'App 4 - Recyclables'!AB116</f>
        <v>12660.978000000001</v>
      </c>
      <c r="AG115" s="127">
        <f>'App 4 - Recyclables'!W116+'App 4 - Recyclables'!AC116</f>
        <v>11479.978000000001</v>
      </c>
      <c r="AH115" s="127">
        <f>'App 4 - Recyclables'!X116+'App 4 - Recyclables'!AD116</f>
        <v>1181</v>
      </c>
      <c r="AI115" s="127">
        <f>'App 5 - Organics'!V115+'App 5 - Organics'!AD115</f>
        <v>14228</v>
      </c>
      <c r="AJ115" s="127">
        <f>'App 5 - Organics'!W115+'App 5 - Organics'!AE115</f>
        <v>14108</v>
      </c>
      <c r="AK115" s="127">
        <f>'App 5 - Organics'!X115+'App 5 - Organics'!AF115</f>
        <v>120</v>
      </c>
      <c r="AL115" s="128">
        <f>'App 6 - Residual Waste'!AC115+'App 6 - Residual Waste'!AI115</f>
        <v>21193.5</v>
      </c>
      <c r="AM115" s="128">
        <f>'App 6 - Residual Waste'!AD115+'App 6 - Residual Waste'!AJ115</f>
        <v>8</v>
      </c>
      <c r="AN115" s="128">
        <f>'App 6 - Residual Waste'!AE115+'App 6 - Residual Waste'!AK115</f>
        <v>21185.5</v>
      </c>
      <c r="AO115" s="121"/>
      <c r="AP115" s="128">
        <f t="shared" si="24"/>
        <v>48082.478000000003</v>
      </c>
      <c r="AQ115" s="128">
        <f t="shared" si="25"/>
        <v>25595.978000000003</v>
      </c>
      <c r="AR115" s="128">
        <f t="shared" si="26"/>
        <v>22486.5</v>
      </c>
      <c r="AS115" s="129">
        <f t="shared" si="27"/>
        <v>0.53233483515554259</v>
      </c>
    </row>
    <row r="116" spans="1:45" ht="15.75" x14ac:dyDescent="0.25">
      <c r="A116" s="8">
        <v>17620</v>
      </c>
      <c r="B116" s="8" t="s">
        <v>160</v>
      </c>
      <c r="C116" s="8" t="s">
        <v>23</v>
      </c>
      <c r="D116" s="29" t="s">
        <v>3</v>
      </c>
      <c r="E116" s="126"/>
      <c r="F116" s="127">
        <f>'App 4 - Recyclables'!V117</f>
        <v>1082.73</v>
      </c>
      <c r="G116" s="127">
        <f>'App 4 - Recyclables'!W117</f>
        <v>994.73</v>
      </c>
      <c r="H116" s="127">
        <f>'App 4 - Recyclables'!X117</f>
        <v>88</v>
      </c>
      <c r="I116" s="127">
        <f>'App 5 - Organics'!V116</f>
        <v>1756</v>
      </c>
      <c r="J116" s="127">
        <f>'App 5 - Organics'!W116</f>
        <v>1712</v>
      </c>
      <c r="K116" s="127">
        <f>'App 5 - Organics'!X116</f>
        <v>44</v>
      </c>
      <c r="L116" s="128">
        <f>'App 6 - Residual Waste'!AC116</f>
        <v>2244.9299999999998</v>
      </c>
      <c r="M116" s="128">
        <f>'App 6 - Residual Waste'!AD116</f>
        <v>0</v>
      </c>
      <c r="N116" s="128">
        <f>'App 6 - Residual Waste'!AE116</f>
        <v>2244.9299999999998</v>
      </c>
      <c r="O116" s="121"/>
      <c r="P116" s="128">
        <f t="shared" si="28"/>
        <v>5083.66</v>
      </c>
      <c r="Q116" s="128">
        <f t="shared" si="28"/>
        <v>2706.73</v>
      </c>
      <c r="R116" s="128">
        <f t="shared" si="28"/>
        <v>2376.9299999999998</v>
      </c>
      <c r="S116" s="129">
        <f t="shared" si="16"/>
        <v>0.53243725976953615</v>
      </c>
      <c r="U116" s="130">
        <f>(P116*1000)/'App 1 - Services'!F116/52</f>
        <v>6.8184329967702828</v>
      </c>
      <c r="V116" s="130">
        <f>(P116*1000)/'App 1 - Services'!G116/52</f>
        <v>15.400550142988708</v>
      </c>
      <c r="X116" s="131">
        <f t="shared" si="17"/>
        <v>0.53243725976953615</v>
      </c>
      <c r="Y116" s="132">
        <f t="shared" si="18"/>
        <v>1082.73</v>
      </c>
      <c r="Z116" s="133">
        <f t="shared" si="19"/>
        <v>0.2129823788372944</v>
      </c>
      <c r="AA116" s="132">
        <f t="shared" si="20"/>
        <v>1756</v>
      </c>
      <c r="AB116" s="133">
        <f t="shared" si="21"/>
        <v>0.34542042544151264</v>
      </c>
      <c r="AC116" s="132">
        <f t="shared" si="22"/>
        <v>2244.9299999999998</v>
      </c>
      <c r="AD116" s="133">
        <f t="shared" si="23"/>
        <v>0.44159719572119299</v>
      </c>
      <c r="AF116" s="127">
        <f>'App 4 - Recyclables'!V117+'App 4 - Recyclables'!AB117</f>
        <v>1082.73</v>
      </c>
      <c r="AG116" s="127">
        <f>'App 4 - Recyclables'!W117+'App 4 - Recyclables'!AC117</f>
        <v>994.73</v>
      </c>
      <c r="AH116" s="127">
        <f>'App 4 - Recyclables'!X117+'App 4 - Recyclables'!AD117</f>
        <v>88</v>
      </c>
      <c r="AI116" s="127">
        <f>'App 5 - Organics'!V116+'App 5 - Organics'!AD116</f>
        <v>1756</v>
      </c>
      <c r="AJ116" s="127">
        <f>'App 5 - Organics'!W116+'App 5 - Organics'!AE116</f>
        <v>1712</v>
      </c>
      <c r="AK116" s="127">
        <f>'App 5 - Organics'!X116+'App 5 - Organics'!AF116</f>
        <v>44</v>
      </c>
      <c r="AL116" s="128">
        <f>'App 6 - Residual Waste'!AC116+'App 6 - Residual Waste'!AI116</f>
        <v>2244.9299999999998</v>
      </c>
      <c r="AM116" s="128">
        <f>'App 6 - Residual Waste'!AD116+'App 6 - Residual Waste'!AJ116</f>
        <v>0</v>
      </c>
      <c r="AN116" s="128">
        <f>'App 6 - Residual Waste'!AE116+'App 6 - Residual Waste'!AK116</f>
        <v>2244.9299999999998</v>
      </c>
      <c r="AO116" s="121"/>
      <c r="AP116" s="128">
        <f t="shared" si="24"/>
        <v>5083.66</v>
      </c>
      <c r="AQ116" s="128">
        <f t="shared" si="25"/>
        <v>2706.73</v>
      </c>
      <c r="AR116" s="128">
        <f t="shared" si="26"/>
        <v>2376.9299999999998</v>
      </c>
      <c r="AS116" s="129">
        <f t="shared" si="27"/>
        <v>0.53243725976953615</v>
      </c>
    </row>
    <row r="117" spans="1:45" ht="15.75" x14ac:dyDescent="0.25">
      <c r="A117" s="8">
        <v>17640</v>
      </c>
      <c r="B117" s="8" t="s">
        <v>161</v>
      </c>
      <c r="C117" s="8" t="s">
        <v>67</v>
      </c>
      <c r="D117" s="29" t="s">
        <v>1</v>
      </c>
      <c r="E117" s="126"/>
      <c r="F117" s="127">
        <f>'App 4 - Recyclables'!V118</f>
        <v>629.04</v>
      </c>
      <c r="G117" s="127">
        <f>'App 4 - Recyclables'!W118</f>
        <v>109.03999999999999</v>
      </c>
      <c r="H117" s="127">
        <f>'App 4 - Recyclables'!X118</f>
        <v>520</v>
      </c>
      <c r="I117" s="127">
        <f>'App 5 - Organics'!V117</f>
        <v>260</v>
      </c>
      <c r="J117" s="127">
        <f>'App 5 - Organics'!W117</f>
        <v>260</v>
      </c>
      <c r="K117" s="127">
        <f>'App 5 - Organics'!X117</f>
        <v>0</v>
      </c>
      <c r="L117" s="128">
        <f>'App 6 - Residual Waste'!AC117</f>
        <v>3045</v>
      </c>
      <c r="M117" s="128">
        <f>'App 6 - Residual Waste'!AD117</f>
        <v>0</v>
      </c>
      <c r="N117" s="128">
        <f>'App 6 - Residual Waste'!AE117</f>
        <v>3045</v>
      </c>
      <c r="O117" s="121"/>
      <c r="P117" s="128">
        <f t="shared" si="28"/>
        <v>3934.04</v>
      </c>
      <c r="Q117" s="128">
        <f t="shared" si="28"/>
        <v>369.03999999999996</v>
      </c>
      <c r="R117" s="128">
        <f t="shared" si="28"/>
        <v>3565</v>
      </c>
      <c r="S117" s="129">
        <f t="shared" si="16"/>
        <v>9.3806875374932625E-2</v>
      </c>
      <c r="U117" s="130">
        <f>(P117*1000)/'App 1 - Services'!F117/52</f>
        <v>8.6899397409390513</v>
      </c>
      <c r="V117" s="130">
        <f>(P117*1000)/'App 1 - Services'!G117/52</f>
        <v>10.838770112409081</v>
      </c>
      <c r="X117" s="131">
        <f t="shared" si="17"/>
        <v>9.3806875374932625E-2</v>
      </c>
      <c r="Y117" s="132">
        <f t="shared" si="18"/>
        <v>629.04</v>
      </c>
      <c r="Z117" s="133">
        <f t="shared" si="19"/>
        <v>0.15989669652570893</v>
      </c>
      <c r="AA117" s="132">
        <f t="shared" si="20"/>
        <v>260</v>
      </c>
      <c r="AB117" s="133">
        <f t="shared" si="21"/>
        <v>6.6089821150776301E-2</v>
      </c>
      <c r="AC117" s="132">
        <f t="shared" si="22"/>
        <v>3045</v>
      </c>
      <c r="AD117" s="133">
        <f t="shared" si="23"/>
        <v>0.77401348232351475</v>
      </c>
      <c r="AF117" s="127">
        <f>'App 4 - Recyclables'!V118+'App 4 - Recyclables'!AB118</f>
        <v>629.04</v>
      </c>
      <c r="AG117" s="127">
        <f>'App 4 - Recyclables'!W118+'App 4 - Recyclables'!AC118</f>
        <v>109.03999999999999</v>
      </c>
      <c r="AH117" s="127">
        <f>'App 4 - Recyclables'!X118+'App 4 - Recyclables'!AD118</f>
        <v>520</v>
      </c>
      <c r="AI117" s="127">
        <f>'App 5 - Organics'!V117+'App 5 - Organics'!AD117</f>
        <v>260</v>
      </c>
      <c r="AJ117" s="127">
        <f>'App 5 - Organics'!W117+'App 5 - Organics'!AE117</f>
        <v>260</v>
      </c>
      <c r="AK117" s="127">
        <f>'App 5 - Organics'!X117+'App 5 - Organics'!AF117</f>
        <v>0</v>
      </c>
      <c r="AL117" s="128">
        <f>'App 6 - Residual Waste'!AC117+'App 6 - Residual Waste'!AI117</f>
        <v>3045</v>
      </c>
      <c r="AM117" s="128">
        <f>'App 6 - Residual Waste'!AD117+'App 6 - Residual Waste'!AJ117</f>
        <v>0</v>
      </c>
      <c r="AN117" s="128">
        <f>'App 6 - Residual Waste'!AE117+'App 6 - Residual Waste'!AK117</f>
        <v>3045</v>
      </c>
      <c r="AO117" s="121"/>
      <c r="AP117" s="128">
        <f t="shared" si="24"/>
        <v>3934.04</v>
      </c>
      <c r="AQ117" s="128">
        <f t="shared" si="25"/>
        <v>369.03999999999996</v>
      </c>
      <c r="AR117" s="128">
        <f t="shared" si="26"/>
        <v>3565</v>
      </c>
      <c r="AS117" s="129">
        <f t="shared" si="27"/>
        <v>9.3806875374932625E-2</v>
      </c>
    </row>
    <row r="118" spans="1:45" ht="15.75" x14ac:dyDescent="0.25">
      <c r="A118" s="8">
        <v>17650</v>
      </c>
      <c r="B118" s="8" t="s">
        <v>162</v>
      </c>
      <c r="C118" s="8" t="s">
        <v>16</v>
      </c>
      <c r="D118" s="29" t="s">
        <v>1</v>
      </c>
      <c r="E118" s="126"/>
      <c r="F118" s="127">
        <f>'App 4 - Recyclables'!V119</f>
        <v>2896.4199999999996</v>
      </c>
      <c r="G118" s="127">
        <f>'App 4 - Recyclables'!W119</f>
        <v>2820.4199999999996</v>
      </c>
      <c r="H118" s="127">
        <f>'App 4 - Recyclables'!X119</f>
        <v>76</v>
      </c>
      <c r="I118" s="127">
        <f>'App 5 - Organics'!V118</f>
        <v>1148</v>
      </c>
      <c r="J118" s="127">
        <f>'App 5 - Organics'!W118</f>
        <v>1148</v>
      </c>
      <c r="K118" s="127">
        <f>'App 5 - Organics'!X118</f>
        <v>0</v>
      </c>
      <c r="L118" s="128">
        <f>'App 6 - Residual Waste'!AC118</f>
        <v>2287.8000000000002</v>
      </c>
      <c r="M118" s="128">
        <f>'App 6 - Residual Waste'!AD118</f>
        <v>44.799999999999955</v>
      </c>
      <c r="N118" s="128">
        <f>'App 6 - Residual Waste'!AE118</f>
        <v>2243</v>
      </c>
      <c r="O118" s="121"/>
      <c r="P118" s="128">
        <f t="shared" si="28"/>
        <v>6332.2199999999993</v>
      </c>
      <c r="Q118" s="128">
        <f t="shared" si="28"/>
        <v>4013.2199999999993</v>
      </c>
      <c r="R118" s="128">
        <f t="shared" si="28"/>
        <v>2319</v>
      </c>
      <c r="S118" s="129">
        <f t="shared" si="16"/>
        <v>0.63377772724257841</v>
      </c>
      <c r="U118" s="130">
        <f>(P118*1000)/'App 1 - Services'!F118/52</f>
        <v>20.137830583506123</v>
      </c>
      <c r="V118" s="130">
        <f>(P118*1000)/'App 1 - Services'!G118/52</f>
        <v>38.078005484196851</v>
      </c>
      <c r="X118" s="131">
        <f t="shared" si="17"/>
        <v>0.63377772724257841</v>
      </c>
      <c r="Y118" s="132">
        <f t="shared" si="18"/>
        <v>2896.4199999999996</v>
      </c>
      <c r="Z118" s="133">
        <f t="shared" si="19"/>
        <v>0.45740988152654199</v>
      </c>
      <c r="AA118" s="132">
        <f t="shared" si="20"/>
        <v>1148</v>
      </c>
      <c r="AB118" s="133">
        <f t="shared" si="21"/>
        <v>0.18129502765222941</v>
      </c>
      <c r="AC118" s="132">
        <f t="shared" si="22"/>
        <v>2287.8000000000002</v>
      </c>
      <c r="AD118" s="133">
        <f t="shared" si="23"/>
        <v>0.36129509082122863</v>
      </c>
      <c r="AF118" s="127">
        <f>'App 4 - Recyclables'!V119+'App 4 - Recyclables'!AB119</f>
        <v>2896.4199999999996</v>
      </c>
      <c r="AG118" s="127">
        <f>'App 4 - Recyclables'!W119+'App 4 - Recyclables'!AC119</f>
        <v>2820.4199999999996</v>
      </c>
      <c r="AH118" s="127">
        <f>'App 4 - Recyclables'!X119+'App 4 - Recyclables'!AD119</f>
        <v>76</v>
      </c>
      <c r="AI118" s="127">
        <f>'App 5 - Organics'!V118+'App 5 - Organics'!AD118</f>
        <v>1148</v>
      </c>
      <c r="AJ118" s="127">
        <f>'App 5 - Organics'!W118+'App 5 - Organics'!AE118</f>
        <v>1148</v>
      </c>
      <c r="AK118" s="127">
        <f>'App 5 - Organics'!X118+'App 5 - Organics'!AF118</f>
        <v>0</v>
      </c>
      <c r="AL118" s="128">
        <f>'App 6 - Residual Waste'!AC118+'App 6 - Residual Waste'!AI118</f>
        <v>2287.8000000000002</v>
      </c>
      <c r="AM118" s="128">
        <f>'App 6 - Residual Waste'!AD118+'App 6 - Residual Waste'!AJ118</f>
        <v>44.799999999999955</v>
      </c>
      <c r="AN118" s="128">
        <f>'App 6 - Residual Waste'!AE118+'App 6 - Residual Waste'!AK118</f>
        <v>2243</v>
      </c>
      <c r="AO118" s="121"/>
      <c r="AP118" s="128">
        <f t="shared" si="24"/>
        <v>6332.2199999999993</v>
      </c>
      <c r="AQ118" s="128">
        <f t="shared" si="25"/>
        <v>4013.2199999999993</v>
      </c>
      <c r="AR118" s="128">
        <f t="shared" si="26"/>
        <v>2319</v>
      </c>
      <c r="AS118" s="129">
        <f t="shared" si="27"/>
        <v>0.63377772724257841</v>
      </c>
    </row>
    <row r="119" spans="1:45" ht="15.75" x14ac:dyDescent="0.25">
      <c r="A119" s="8">
        <v>17750</v>
      </c>
      <c r="B119" s="8" t="s">
        <v>163</v>
      </c>
      <c r="C119" s="8" t="s">
        <v>21</v>
      </c>
      <c r="D119" s="29" t="s">
        <v>1</v>
      </c>
      <c r="E119" s="126"/>
      <c r="F119" s="127">
        <f>'App 4 - Recyclables'!V120</f>
        <v>6512.93</v>
      </c>
      <c r="G119" s="127">
        <f>'App 4 - Recyclables'!W120</f>
        <v>6324.93</v>
      </c>
      <c r="H119" s="127">
        <f>'App 4 - Recyclables'!X120</f>
        <v>188</v>
      </c>
      <c r="I119" s="127">
        <f>'App 5 - Organics'!V119</f>
        <v>14729</v>
      </c>
      <c r="J119" s="127">
        <f>'App 5 - Organics'!W119</f>
        <v>15928</v>
      </c>
      <c r="K119" s="127">
        <f>'App 5 - Organics'!X119</f>
        <v>-1199</v>
      </c>
      <c r="L119" s="128">
        <f>'App 6 - Residual Waste'!AC119</f>
        <v>16171</v>
      </c>
      <c r="M119" s="128">
        <f>'App 6 - Residual Waste'!AD119</f>
        <v>18</v>
      </c>
      <c r="N119" s="128">
        <f>'App 6 - Residual Waste'!AE119</f>
        <v>16153</v>
      </c>
      <c r="O119" s="121"/>
      <c r="P119" s="128">
        <f t="shared" si="28"/>
        <v>37412.93</v>
      </c>
      <c r="Q119" s="128">
        <f t="shared" si="28"/>
        <v>22270.93</v>
      </c>
      <c r="R119" s="128">
        <f t="shared" si="28"/>
        <v>15142</v>
      </c>
      <c r="S119" s="129">
        <f t="shared" si="16"/>
        <v>0.59527361262536771</v>
      </c>
      <c r="U119" s="130">
        <f>(P119*1000)/'App 1 - Services'!F119/52</f>
        <v>10.470333300496581</v>
      </c>
      <c r="V119" s="130">
        <f>(P119*1000)/'App 1 - Services'!G119/52</f>
        <v>27.458950579227658</v>
      </c>
      <c r="X119" s="131">
        <f t="shared" si="17"/>
        <v>0.59527361262536771</v>
      </c>
      <c r="Y119" s="132">
        <f t="shared" si="18"/>
        <v>6512.93</v>
      </c>
      <c r="Z119" s="133">
        <f t="shared" si="19"/>
        <v>0.17408232929096973</v>
      </c>
      <c r="AA119" s="132">
        <f t="shared" si="20"/>
        <v>14729</v>
      </c>
      <c r="AB119" s="133">
        <f t="shared" si="21"/>
        <v>0.39368742303797111</v>
      </c>
      <c r="AC119" s="132">
        <f t="shared" si="22"/>
        <v>16171</v>
      </c>
      <c r="AD119" s="133">
        <f t="shared" si="23"/>
        <v>0.43223024767105916</v>
      </c>
      <c r="AF119" s="127">
        <f>'App 4 - Recyclables'!V120+'App 4 - Recyclables'!AB120</f>
        <v>6512.93</v>
      </c>
      <c r="AG119" s="127">
        <f>'App 4 - Recyclables'!W120+'App 4 - Recyclables'!AC120</f>
        <v>6324.93</v>
      </c>
      <c r="AH119" s="127">
        <f>'App 4 - Recyclables'!X120+'App 4 - Recyclables'!AD120</f>
        <v>188</v>
      </c>
      <c r="AI119" s="127">
        <f>'App 5 - Organics'!V119+'App 5 - Organics'!AD119</f>
        <v>15878.58</v>
      </c>
      <c r="AJ119" s="127">
        <f>'App 5 - Organics'!W119+'App 5 - Organics'!AE119</f>
        <v>17077.580000000002</v>
      </c>
      <c r="AK119" s="127">
        <f>'App 5 - Organics'!X119+'App 5 - Organics'!AF119</f>
        <v>-1199</v>
      </c>
      <c r="AL119" s="128">
        <f>'App 6 - Residual Waste'!AC119+'App 6 - Residual Waste'!AI119</f>
        <v>17861.939999999999</v>
      </c>
      <c r="AM119" s="128">
        <f>'App 6 - Residual Waste'!AD119+'App 6 - Residual Waste'!AJ119</f>
        <v>18</v>
      </c>
      <c r="AN119" s="128">
        <f>'App 6 - Residual Waste'!AE119+'App 6 - Residual Waste'!AK119</f>
        <v>17843.939999999999</v>
      </c>
      <c r="AO119" s="121"/>
      <c r="AP119" s="128">
        <f t="shared" si="24"/>
        <v>40253.449999999997</v>
      </c>
      <c r="AQ119" s="128">
        <f t="shared" si="25"/>
        <v>23420.510000000002</v>
      </c>
      <c r="AR119" s="128">
        <f t="shared" si="26"/>
        <v>16832.939999999999</v>
      </c>
      <c r="AS119" s="129">
        <f t="shared" si="27"/>
        <v>0.58182615403151794</v>
      </c>
    </row>
    <row r="120" spans="1:45" ht="15.75" x14ac:dyDescent="0.25">
      <c r="A120" s="8">
        <v>17850</v>
      </c>
      <c r="B120" s="8" t="s">
        <v>164</v>
      </c>
      <c r="C120" s="8" t="s">
        <v>16</v>
      </c>
      <c r="D120" s="29" t="s">
        <v>1</v>
      </c>
      <c r="E120" s="126"/>
      <c r="F120" s="127">
        <f>'App 4 - Recyclables'!V121</f>
        <v>200.72</v>
      </c>
      <c r="G120" s="127">
        <f>'App 4 - Recyclables'!W121</f>
        <v>200.72</v>
      </c>
      <c r="H120" s="127">
        <f>'App 4 - Recyclables'!X121</f>
        <v>0</v>
      </c>
      <c r="I120" s="127">
        <f>'App 5 - Organics'!V120</f>
        <v>161.15</v>
      </c>
      <c r="J120" s="127">
        <f>'App 5 - Organics'!W120</f>
        <v>161.15</v>
      </c>
      <c r="K120" s="127">
        <f>'App 5 - Organics'!X120</f>
        <v>0</v>
      </c>
      <c r="L120" s="128">
        <f>'App 6 - Residual Waste'!AC120</f>
        <v>434.71</v>
      </c>
      <c r="M120" s="128">
        <f>'App 6 - Residual Waste'!AD120</f>
        <v>0</v>
      </c>
      <c r="N120" s="128">
        <f>'App 6 - Residual Waste'!AE120</f>
        <v>434.71</v>
      </c>
      <c r="O120" s="121"/>
      <c r="P120" s="128">
        <f t="shared" si="28"/>
        <v>796.57999999999993</v>
      </c>
      <c r="Q120" s="128">
        <f t="shared" si="28"/>
        <v>361.87</v>
      </c>
      <c r="R120" s="128">
        <f t="shared" si="28"/>
        <v>434.71</v>
      </c>
      <c r="S120" s="129">
        <f t="shared" si="16"/>
        <v>0.45427954505511065</v>
      </c>
      <c r="U120" s="130">
        <f>(P120*1000)/'App 1 - Services'!F120/52</f>
        <v>5.1613363052042294</v>
      </c>
      <c r="V120" s="130">
        <f>(P120*1000)/'App 1 - Services'!G120/52</f>
        <v>9.403834348585729</v>
      </c>
      <c r="W120" s="134"/>
      <c r="X120" s="131">
        <f t="shared" si="17"/>
        <v>0.45427954505511065</v>
      </c>
      <c r="Y120" s="132">
        <f t="shared" si="18"/>
        <v>200.72</v>
      </c>
      <c r="Z120" s="133">
        <f t="shared" si="19"/>
        <v>0.2519772025408622</v>
      </c>
      <c r="AA120" s="132">
        <f t="shared" si="20"/>
        <v>161.15</v>
      </c>
      <c r="AB120" s="133">
        <f t="shared" si="21"/>
        <v>0.20230234251424845</v>
      </c>
      <c r="AC120" s="132">
        <f t="shared" si="22"/>
        <v>434.71</v>
      </c>
      <c r="AD120" s="133">
        <f t="shared" si="23"/>
        <v>0.54572045494488941</v>
      </c>
      <c r="AF120" s="127">
        <f>'App 4 - Recyclables'!V121+'App 4 - Recyclables'!AB121</f>
        <v>200.72</v>
      </c>
      <c r="AG120" s="127">
        <f>'App 4 - Recyclables'!W121+'App 4 - Recyclables'!AC121</f>
        <v>200.72</v>
      </c>
      <c r="AH120" s="127">
        <f>'App 4 - Recyclables'!X121+'App 4 - Recyclables'!AD121</f>
        <v>0</v>
      </c>
      <c r="AI120" s="127">
        <f>'App 5 - Organics'!V120+'App 5 - Organics'!AD120</f>
        <v>161.15</v>
      </c>
      <c r="AJ120" s="127">
        <f>'App 5 - Organics'!W120+'App 5 - Organics'!AE120</f>
        <v>161.15</v>
      </c>
      <c r="AK120" s="127">
        <f>'App 5 - Organics'!X120+'App 5 - Organics'!AF120</f>
        <v>0</v>
      </c>
      <c r="AL120" s="128">
        <f>'App 6 - Residual Waste'!AC120+'App 6 - Residual Waste'!AI120</f>
        <v>434.71</v>
      </c>
      <c r="AM120" s="128">
        <f>'App 6 - Residual Waste'!AD120+'App 6 - Residual Waste'!AJ120</f>
        <v>0</v>
      </c>
      <c r="AN120" s="128">
        <f>'App 6 - Residual Waste'!AE120+'App 6 - Residual Waste'!AK120</f>
        <v>434.71</v>
      </c>
      <c r="AO120" s="121"/>
      <c r="AP120" s="128">
        <f t="shared" si="24"/>
        <v>796.57999999999993</v>
      </c>
      <c r="AQ120" s="128">
        <f t="shared" si="25"/>
        <v>361.87</v>
      </c>
      <c r="AR120" s="128">
        <f t="shared" si="26"/>
        <v>434.71</v>
      </c>
      <c r="AS120" s="129">
        <f t="shared" si="27"/>
        <v>0.45427954505511065</v>
      </c>
    </row>
    <row r="121" spans="1:45" ht="15.75" x14ac:dyDescent="0.25">
      <c r="A121" s="8">
        <v>17900</v>
      </c>
      <c r="B121" s="8" t="s">
        <v>165</v>
      </c>
      <c r="C121" s="8" t="s">
        <v>38</v>
      </c>
      <c r="D121" s="29" t="s">
        <v>1</v>
      </c>
      <c r="E121" s="126"/>
      <c r="F121" s="127">
        <f>'App 4 - Recyclables'!V122</f>
        <v>56.2</v>
      </c>
      <c r="G121" s="127">
        <f>'App 4 - Recyclables'!W122</f>
        <v>56.2</v>
      </c>
      <c r="H121" s="127">
        <f>'App 4 - Recyclables'!X122</f>
        <v>0</v>
      </c>
      <c r="I121" s="127">
        <f>'App 5 - Organics'!V121</f>
        <v>0</v>
      </c>
      <c r="J121" s="127">
        <f>'App 5 - Organics'!W121</f>
        <v>0</v>
      </c>
      <c r="K121" s="127">
        <f>'App 5 - Organics'!X121</f>
        <v>0</v>
      </c>
      <c r="L121" s="128">
        <f>'App 6 - Residual Waste'!AC121</f>
        <v>3000</v>
      </c>
      <c r="M121" s="128">
        <f>'App 6 - Residual Waste'!AD121</f>
        <v>0</v>
      </c>
      <c r="N121" s="128">
        <f>'App 6 - Residual Waste'!AE121</f>
        <v>3000</v>
      </c>
      <c r="O121" s="121"/>
      <c r="P121" s="128">
        <f t="shared" si="28"/>
        <v>3056.2</v>
      </c>
      <c r="Q121" s="128">
        <f t="shared" si="28"/>
        <v>56.2</v>
      </c>
      <c r="R121" s="128">
        <f t="shared" si="28"/>
        <v>3000</v>
      </c>
      <c r="S121" s="129">
        <f t="shared" si="16"/>
        <v>1.8388848897323475E-2</v>
      </c>
      <c r="U121" s="130">
        <f>(P121*1000)/'App 1 - Services'!F121/52</f>
        <v>10.649225751599371</v>
      </c>
      <c r="V121" s="130">
        <f>(P121*1000)/'App 1 - Services'!G121/52</f>
        <v>10.216074556418725</v>
      </c>
      <c r="X121" s="131">
        <f t="shared" si="17"/>
        <v>1.8388848897323475E-2</v>
      </c>
      <c r="Y121" s="132">
        <f t="shared" si="18"/>
        <v>56.2</v>
      </c>
      <c r="Z121" s="133">
        <f t="shared" si="19"/>
        <v>1.8388848897323475E-2</v>
      </c>
      <c r="AA121" s="132">
        <f t="shared" si="20"/>
        <v>0</v>
      </c>
      <c r="AB121" s="133">
        <f t="shared" si="21"/>
        <v>0</v>
      </c>
      <c r="AC121" s="132">
        <f t="shared" si="22"/>
        <v>3000</v>
      </c>
      <c r="AD121" s="133">
        <f t="shared" si="23"/>
        <v>0.9816111511026766</v>
      </c>
      <c r="AF121" s="127">
        <f>'App 4 - Recyclables'!V122+'App 4 - Recyclables'!AB122</f>
        <v>56.2</v>
      </c>
      <c r="AG121" s="127">
        <f>'App 4 - Recyclables'!W122+'App 4 - Recyclables'!AC122</f>
        <v>56.2</v>
      </c>
      <c r="AH121" s="127">
        <f>'App 4 - Recyclables'!X122+'App 4 - Recyclables'!AD122</f>
        <v>0</v>
      </c>
      <c r="AI121" s="127">
        <f>'App 5 - Organics'!V121+'App 5 - Organics'!AD121</f>
        <v>0</v>
      </c>
      <c r="AJ121" s="127">
        <f>'App 5 - Organics'!W121+'App 5 - Organics'!AE121</f>
        <v>0</v>
      </c>
      <c r="AK121" s="127">
        <f>'App 5 - Organics'!X121+'App 5 - Organics'!AF121</f>
        <v>0</v>
      </c>
      <c r="AL121" s="128">
        <f>'App 6 - Residual Waste'!AC121+'App 6 - Residual Waste'!AI121</f>
        <v>3000</v>
      </c>
      <c r="AM121" s="128">
        <f>'App 6 - Residual Waste'!AD121+'App 6 - Residual Waste'!AJ121</f>
        <v>0</v>
      </c>
      <c r="AN121" s="128">
        <f>'App 6 - Residual Waste'!AE121+'App 6 - Residual Waste'!AK121</f>
        <v>3000</v>
      </c>
      <c r="AO121" s="121"/>
      <c r="AP121" s="128">
        <f t="shared" si="24"/>
        <v>3056.2</v>
      </c>
      <c r="AQ121" s="128">
        <f t="shared" si="25"/>
        <v>56.2</v>
      </c>
      <c r="AR121" s="128">
        <f t="shared" si="26"/>
        <v>3000</v>
      </c>
      <c r="AS121" s="129">
        <f t="shared" si="27"/>
        <v>1.8388848897323475E-2</v>
      </c>
    </row>
    <row r="122" spans="1:45" ht="15.75" x14ac:dyDescent="0.25">
      <c r="A122" s="8">
        <v>17950</v>
      </c>
      <c r="B122" s="8" t="s">
        <v>166</v>
      </c>
      <c r="C122" s="8" t="s">
        <v>38</v>
      </c>
      <c r="D122" s="29" t="s">
        <v>1</v>
      </c>
      <c r="E122" s="126"/>
      <c r="F122" s="127">
        <f>'App 4 - Recyclables'!V123</f>
        <v>22.39</v>
      </c>
      <c r="G122" s="127">
        <f>'App 4 - Recyclables'!W123</f>
        <v>12.39</v>
      </c>
      <c r="H122" s="127">
        <f>'App 4 - Recyclables'!X123</f>
        <v>10</v>
      </c>
      <c r="I122" s="127">
        <f>'App 5 - Organics'!V122</f>
        <v>400</v>
      </c>
      <c r="J122" s="127">
        <f>'App 5 - Organics'!W122</f>
        <v>0</v>
      </c>
      <c r="K122" s="127">
        <f>'App 5 - Organics'!X122</f>
        <v>400</v>
      </c>
      <c r="L122" s="128">
        <f>'App 6 - Residual Waste'!AC122</f>
        <v>1569</v>
      </c>
      <c r="M122" s="128">
        <f>'App 6 - Residual Waste'!AD122</f>
        <v>0</v>
      </c>
      <c r="N122" s="128">
        <f>'App 6 - Residual Waste'!AE122</f>
        <v>1569</v>
      </c>
      <c r="O122" s="121"/>
      <c r="P122" s="128">
        <f t="shared" si="28"/>
        <v>1991.3899999999999</v>
      </c>
      <c r="Q122" s="128">
        <f t="shared" si="28"/>
        <v>12.39</v>
      </c>
      <c r="R122" s="128">
        <f t="shared" si="28"/>
        <v>1979</v>
      </c>
      <c r="S122" s="129">
        <f t="shared" si="16"/>
        <v>6.2217847834929374E-3</v>
      </c>
      <c r="U122" s="130">
        <f>(P122*1000)/'App 1 - Services'!F122/52</f>
        <v>14.82615622859525</v>
      </c>
      <c r="V122" s="130">
        <f>(P122*1000)/'App 1 - Services'!G122/52</f>
        <v>18.608338939971592</v>
      </c>
      <c r="X122" s="131">
        <f t="shared" si="17"/>
        <v>6.2217847834929374E-3</v>
      </c>
      <c r="Y122" s="132">
        <f t="shared" si="18"/>
        <v>22.39</v>
      </c>
      <c r="Z122" s="133">
        <f t="shared" si="19"/>
        <v>1.1243402849266091E-2</v>
      </c>
      <c r="AA122" s="132">
        <f t="shared" si="20"/>
        <v>400</v>
      </c>
      <c r="AB122" s="133">
        <f t="shared" si="21"/>
        <v>0.20086472263092614</v>
      </c>
      <c r="AC122" s="132">
        <f t="shared" si="22"/>
        <v>1569</v>
      </c>
      <c r="AD122" s="133">
        <f t="shared" si="23"/>
        <v>0.7878918745198078</v>
      </c>
      <c r="AF122" s="127">
        <f>'App 4 - Recyclables'!V123+'App 4 - Recyclables'!AB123</f>
        <v>22.39</v>
      </c>
      <c r="AG122" s="127">
        <f>'App 4 - Recyclables'!W123+'App 4 - Recyclables'!AC123</f>
        <v>12.39</v>
      </c>
      <c r="AH122" s="127">
        <f>'App 4 - Recyclables'!X123+'App 4 - Recyclables'!AD123</f>
        <v>10</v>
      </c>
      <c r="AI122" s="127">
        <f>'App 5 - Organics'!V122+'App 5 - Organics'!AD122</f>
        <v>400</v>
      </c>
      <c r="AJ122" s="127">
        <f>'App 5 - Organics'!W122+'App 5 - Organics'!AE122</f>
        <v>0</v>
      </c>
      <c r="AK122" s="127">
        <f>'App 5 - Organics'!X122+'App 5 - Organics'!AF122</f>
        <v>400</v>
      </c>
      <c r="AL122" s="128">
        <f>'App 6 - Residual Waste'!AC122+'App 6 - Residual Waste'!AI122</f>
        <v>1569</v>
      </c>
      <c r="AM122" s="128">
        <f>'App 6 - Residual Waste'!AD122+'App 6 - Residual Waste'!AJ122</f>
        <v>0</v>
      </c>
      <c r="AN122" s="128">
        <f>'App 6 - Residual Waste'!AE122+'App 6 - Residual Waste'!AK122</f>
        <v>1569</v>
      </c>
      <c r="AO122" s="121"/>
      <c r="AP122" s="128">
        <f t="shared" si="24"/>
        <v>1991.3899999999999</v>
      </c>
      <c r="AQ122" s="128">
        <f t="shared" si="25"/>
        <v>12.39</v>
      </c>
      <c r="AR122" s="128">
        <f t="shared" si="26"/>
        <v>1979</v>
      </c>
      <c r="AS122" s="129">
        <f t="shared" si="27"/>
        <v>6.2217847834929374E-3</v>
      </c>
    </row>
    <row r="123" spans="1:45" ht="15.75" x14ac:dyDescent="0.25">
      <c r="A123" s="8">
        <v>18020</v>
      </c>
      <c r="B123" s="8" t="s">
        <v>167</v>
      </c>
      <c r="C123" s="8" t="s">
        <v>38</v>
      </c>
      <c r="D123" s="29" t="s">
        <v>1</v>
      </c>
      <c r="E123" s="126"/>
      <c r="F123" s="127">
        <f>'App 4 - Recyclables'!V124</f>
        <v>451.72</v>
      </c>
      <c r="G123" s="127">
        <f>'App 4 - Recyclables'!W124</f>
        <v>403.72</v>
      </c>
      <c r="H123" s="127">
        <f>'App 4 - Recyclables'!X124</f>
        <v>48</v>
      </c>
      <c r="I123" s="127">
        <f>'App 5 - Organics'!V123</f>
        <v>0</v>
      </c>
      <c r="J123" s="127">
        <f>'App 5 - Organics'!W123</f>
        <v>0</v>
      </c>
      <c r="K123" s="127">
        <f>'App 5 - Organics'!X123</f>
        <v>0</v>
      </c>
      <c r="L123" s="128">
        <f>'App 6 - Residual Waste'!AC123</f>
        <v>3646</v>
      </c>
      <c r="M123" s="128">
        <f>'App 6 - Residual Waste'!AD123</f>
        <v>0</v>
      </c>
      <c r="N123" s="128">
        <f>'App 6 - Residual Waste'!AE123</f>
        <v>3646</v>
      </c>
      <c r="O123" s="121"/>
      <c r="P123" s="128">
        <f t="shared" si="28"/>
        <v>4097.72</v>
      </c>
      <c r="Q123" s="128">
        <f t="shared" si="28"/>
        <v>403.72</v>
      </c>
      <c r="R123" s="128">
        <f t="shared" si="28"/>
        <v>3694</v>
      </c>
      <c r="S123" s="129">
        <f t="shared" si="16"/>
        <v>9.8523081128041937E-2</v>
      </c>
      <c r="U123" s="130">
        <f>(P123*1000)/'App 1 - Services'!F123/52</f>
        <v>8.5394785102197339</v>
      </c>
      <c r="V123" s="130">
        <f>(P123*1000)/'App 1 - Services'!G123/52</f>
        <v>12.997246856722366</v>
      </c>
      <c r="X123" s="131">
        <f t="shared" si="17"/>
        <v>9.8523081128041937E-2</v>
      </c>
      <c r="Y123" s="132">
        <f t="shared" si="18"/>
        <v>451.72</v>
      </c>
      <c r="Z123" s="133">
        <f t="shared" si="19"/>
        <v>0.11023691223412044</v>
      </c>
      <c r="AA123" s="132">
        <f t="shared" si="20"/>
        <v>0</v>
      </c>
      <c r="AB123" s="133">
        <f t="shared" si="21"/>
        <v>0</v>
      </c>
      <c r="AC123" s="132">
        <f t="shared" si="22"/>
        <v>3646</v>
      </c>
      <c r="AD123" s="133">
        <f t="shared" si="23"/>
        <v>0.88976308776587953</v>
      </c>
      <c r="AF123" s="127">
        <f>'App 4 - Recyclables'!V124+'App 4 - Recyclables'!AB124</f>
        <v>451.72</v>
      </c>
      <c r="AG123" s="127">
        <f>'App 4 - Recyclables'!W124+'App 4 - Recyclables'!AC124</f>
        <v>403.72</v>
      </c>
      <c r="AH123" s="127">
        <f>'App 4 - Recyclables'!X124+'App 4 - Recyclables'!AD124</f>
        <v>48</v>
      </c>
      <c r="AI123" s="127">
        <f>'App 5 - Organics'!V123+'App 5 - Organics'!AD123</f>
        <v>0</v>
      </c>
      <c r="AJ123" s="127">
        <f>'App 5 - Organics'!W123+'App 5 - Organics'!AE123</f>
        <v>0</v>
      </c>
      <c r="AK123" s="127">
        <f>'App 5 - Organics'!X123+'App 5 - Organics'!AF123</f>
        <v>0</v>
      </c>
      <c r="AL123" s="128">
        <f>'App 6 - Residual Waste'!AC123+'App 6 - Residual Waste'!AI123</f>
        <v>3646</v>
      </c>
      <c r="AM123" s="128">
        <f>'App 6 - Residual Waste'!AD123+'App 6 - Residual Waste'!AJ123</f>
        <v>0</v>
      </c>
      <c r="AN123" s="128">
        <f>'App 6 - Residual Waste'!AE123+'App 6 - Residual Waste'!AK123</f>
        <v>3646</v>
      </c>
      <c r="AO123" s="121"/>
      <c r="AP123" s="128">
        <f t="shared" si="24"/>
        <v>4097.72</v>
      </c>
      <c r="AQ123" s="128">
        <f t="shared" si="25"/>
        <v>403.72</v>
      </c>
      <c r="AR123" s="128">
        <f t="shared" si="26"/>
        <v>3694</v>
      </c>
      <c r="AS123" s="129">
        <f t="shared" si="27"/>
        <v>9.8523081128041937E-2</v>
      </c>
    </row>
    <row r="124" spans="1:45" ht="15.75" x14ac:dyDescent="0.25">
      <c r="A124" s="8">
        <v>18050</v>
      </c>
      <c r="B124" s="8" t="s">
        <v>62</v>
      </c>
      <c r="C124" s="8" t="s">
        <v>17</v>
      </c>
      <c r="D124" s="29" t="s">
        <v>2</v>
      </c>
      <c r="E124" s="126"/>
      <c r="F124" s="127">
        <f>'App 4 - Recyclables'!V125</f>
        <v>5880.1</v>
      </c>
      <c r="G124" s="127">
        <f>'App 4 - Recyclables'!W125</f>
        <v>5349.1</v>
      </c>
      <c r="H124" s="127">
        <f>'App 4 - Recyclables'!X125</f>
        <v>531</v>
      </c>
      <c r="I124" s="127">
        <f>'App 5 - Organics'!V124</f>
        <v>2413</v>
      </c>
      <c r="J124" s="127">
        <f>'App 5 - Organics'!W124</f>
        <v>2413</v>
      </c>
      <c r="K124" s="127">
        <f>'App 5 - Organics'!X124</f>
        <v>0</v>
      </c>
      <c r="L124" s="128">
        <f>'App 6 - Residual Waste'!AC124</f>
        <v>15813.27</v>
      </c>
      <c r="M124" s="128">
        <f>'App 6 - Residual Waste'!AD124</f>
        <v>3729.27</v>
      </c>
      <c r="N124" s="128">
        <f>'App 6 - Residual Waste'!AE124</f>
        <v>12084</v>
      </c>
      <c r="O124" s="121"/>
      <c r="P124" s="128">
        <f t="shared" si="28"/>
        <v>24106.370000000003</v>
      </c>
      <c r="Q124" s="128">
        <f t="shared" si="28"/>
        <v>11491.37</v>
      </c>
      <c r="R124" s="128">
        <f t="shared" si="28"/>
        <v>12615</v>
      </c>
      <c r="S124" s="129">
        <f t="shared" si="16"/>
        <v>0.47669433431910319</v>
      </c>
      <c r="U124" s="130">
        <f>(P124*1000)/'App 1 - Services'!F124/52</f>
        <v>6.4915008046256828</v>
      </c>
      <c r="V124" s="130">
        <f>(P124*1000)/'App 1 - Services'!G124/52</f>
        <v>15.538261721519643</v>
      </c>
      <c r="X124" s="131">
        <f t="shared" si="17"/>
        <v>0.47669433431910319</v>
      </c>
      <c r="Y124" s="132">
        <f t="shared" si="18"/>
        <v>5880.1</v>
      </c>
      <c r="Z124" s="133">
        <f t="shared" si="19"/>
        <v>0.24392307925249632</v>
      </c>
      <c r="AA124" s="132">
        <f t="shared" si="20"/>
        <v>2413</v>
      </c>
      <c r="AB124" s="133">
        <f t="shared" si="21"/>
        <v>0.10009802388331382</v>
      </c>
      <c r="AC124" s="132">
        <f t="shared" si="22"/>
        <v>15813.27</v>
      </c>
      <c r="AD124" s="133">
        <f t="shared" si="23"/>
        <v>0.65597889686418975</v>
      </c>
      <c r="AF124" s="127">
        <f>'App 4 - Recyclables'!V125+'App 4 - Recyclables'!AB125</f>
        <v>5880.1</v>
      </c>
      <c r="AG124" s="127">
        <f>'App 4 - Recyclables'!W125+'App 4 - Recyclables'!AC125</f>
        <v>5349.1</v>
      </c>
      <c r="AH124" s="127">
        <f>'App 4 - Recyclables'!X125+'App 4 - Recyclables'!AD125</f>
        <v>531</v>
      </c>
      <c r="AI124" s="127">
        <f>'App 5 - Organics'!V124+'App 5 - Organics'!AD124</f>
        <v>2413</v>
      </c>
      <c r="AJ124" s="127">
        <f>'App 5 - Organics'!W124+'App 5 - Organics'!AE124</f>
        <v>2413</v>
      </c>
      <c r="AK124" s="127">
        <f>'App 5 - Organics'!X124+'App 5 - Organics'!AF124</f>
        <v>0</v>
      </c>
      <c r="AL124" s="128">
        <f>'App 6 - Residual Waste'!AC124+'App 6 - Residual Waste'!AI124</f>
        <v>16119.27</v>
      </c>
      <c r="AM124" s="128">
        <f>'App 6 - Residual Waste'!AD124+'App 6 - Residual Waste'!AJ124</f>
        <v>3984.27</v>
      </c>
      <c r="AN124" s="128">
        <f>'App 6 - Residual Waste'!AE124+'App 6 - Residual Waste'!AK124</f>
        <v>12135</v>
      </c>
      <c r="AO124" s="121"/>
      <c r="AP124" s="128">
        <f t="shared" si="24"/>
        <v>24412.370000000003</v>
      </c>
      <c r="AQ124" s="128">
        <f t="shared" si="25"/>
        <v>11746.37</v>
      </c>
      <c r="AR124" s="128">
        <f t="shared" si="26"/>
        <v>12666</v>
      </c>
      <c r="AS124" s="129">
        <f t="shared" si="27"/>
        <v>0.48116467184464268</v>
      </c>
    </row>
    <row r="125" spans="1:45" ht="15.75" x14ac:dyDescent="0.25">
      <c r="A125" s="8">
        <v>18100</v>
      </c>
      <c r="B125" s="8" t="s">
        <v>168</v>
      </c>
      <c r="C125" s="8" t="s">
        <v>38</v>
      </c>
      <c r="D125" s="29" t="s">
        <v>1</v>
      </c>
      <c r="E125" s="126"/>
      <c r="F125" s="127">
        <f>'App 4 - Recyclables'!V126</f>
        <v>260.17</v>
      </c>
      <c r="G125" s="127">
        <f>'App 4 - Recyclables'!W126</f>
        <v>253.79000000000002</v>
      </c>
      <c r="H125" s="127">
        <f>'App 4 - Recyclables'!X126</f>
        <v>6.38</v>
      </c>
      <c r="I125" s="127">
        <f>'App 5 - Organics'!V125</f>
        <v>295.27999999999997</v>
      </c>
      <c r="J125" s="127">
        <f>'App 5 - Organics'!W125</f>
        <v>278.83</v>
      </c>
      <c r="K125" s="127">
        <f>'App 5 - Organics'!X125</f>
        <v>16.45</v>
      </c>
      <c r="L125" s="128">
        <f>'App 6 - Residual Waste'!AC125</f>
        <v>1802.07</v>
      </c>
      <c r="M125" s="128">
        <f>'App 6 - Residual Waste'!AD125</f>
        <v>7.2999999999999545</v>
      </c>
      <c r="N125" s="128">
        <f>'App 6 - Residual Waste'!AE125</f>
        <v>1794.77</v>
      </c>
      <c r="O125" s="121"/>
      <c r="P125" s="128">
        <f t="shared" si="28"/>
        <v>2357.52</v>
      </c>
      <c r="Q125" s="128">
        <f t="shared" si="28"/>
        <v>539.91999999999996</v>
      </c>
      <c r="R125" s="128">
        <f t="shared" si="28"/>
        <v>1817.6</v>
      </c>
      <c r="S125" s="129">
        <f t="shared" si="16"/>
        <v>0.22902032644473852</v>
      </c>
      <c r="U125" s="130">
        <f>(P125*1000)/'App 1 - Services'!F125/52</f>
        <v>12.53786589516678</v>
      </c>
      <c r="V125" s="130">
        <f>(P125*1000)/'App 1 - Services'!G125/52</f>
        <v>17.357168099893979</v>
      </c>
      <c r="X125" s="131">
        <f t="shared" si="17"/>
        <v>0.22902032644473852</v>
      </c>
      <c r="Y125" s="132">
        <f t="shared" si="18"/>
        <v>260.17</v>
      </c>
      <c r="Z125" s="133">
        <f t="shared" si="19"/>
        <v>0.11035749431606096</v>
      </c>
      <c r="AA125" s="132">
        <f t="shared" si="20"/>
        <v>295.27999999999997</v>
      </c>
      <c r="AB125" s="133">
        <f t="shared" si="21"/>
        <v>0.12525026298822489</v>
      </c>
      <c r="AC125" s="132">
        <f t="shared" si="22"/>
        <v>1802.07</v>
      </c>
      <c r="AD125" s="133">
        <f t="shared" si="23"/>
        <v>0.76439224269571415</v>
      </c>
      <c r="AF125" s="127">
        <f>'App 4 - Recyclables'!V126+'App 4 - Recyclables'!AB126</f>
        <v>260.17</v>
      </c>
      <c r="AG125" s="127">
        <f>'App 4 - Recyclables'!W126+'App 4 - Recyclables'!AC126</f>
        <v>253.79000000000002</v>
      </c>
      <c r="AH125" s="127">
        <f>'App 4 - Recyclables'!X126+'App 4 - Recyclables'!AD126</f>
        <v>6.38</v>
      </c>
      <c r="AI125" s="127">
        <f>'App 5 - Organics'!V125+'App 5 - Organics'!AD125</f>
        <v>295.27999999999997</v>
      </c>
      <c r="AJ125" s="127">
        <f>'App 5 - Organics'!W125+'App 5 - Organics'!AE125</f>
        <v>278.83</v>
      </c>
      <c r="AK125" s="127">
        <f>'App 5 - Organics'!X125+'App 5 - Organics'!AF125</f>
        <v>16.45</v>
      </c>
      <c r="AL125" s="128">
        <f>'App 6 - Residual Waste'!AC125+'App 6 - Residual Waste'!AI125</f>
        <v>1802.07</v>
      </c>
      <c r="AM125" s="128">
        <f>'App 6 - Residual Waste'!AD125+'App 6 - Residual Waste'!AJ125</f>
        <v>7.2999999999999545</v>
      </c>
      <c r="AN125" s="128">
        <f>'App 6 - Residual Waste'!AE125+'App 6 - Residual Waste'!AK125</f>
        <v>1794.77</v>
      </c>
      <c r="AO125" s="121"/>
      <c r="AP125" s="128">
        <f t="shared" si="24"/>
        <v>2357.52</v>
      </c>
      <c r="AQ125" s="128">
        <f t="shared" si="25"/>
        <v>539.91999999999996</v>
      </c>
      <c r="AR125" s="128">
        <f t="shared" si="26"/>
        <v>1817.6</v>
      </c>
      <c r="AS125" s="129">
        <f t="shared" si="27"/>
        <v>0.22902032644473852</v>
      </c>
    </row>
    <row r="126" spans="1:45" ht="15.75" x14ac:dyDescent="0.25">
      <c r="A126" s="8">
        <v>18200</v>
      </c>
      <c r="B126" s="8" t="s">
        <v>169</v>
      </c>
      <c r="C126" s="8" t="s">
        <v>66</v>
      </c>
      <c r="D126" s="29" t="s">
        <v>1</v>
      </c>
      <c r="E126" s="126"/>
      <c r="F126" s="127">
        <f>'App 4 - Recyclables'!V127</f>
        <v>412.21</v>
      </c>
      <c r="G126" s="127">
        <f>'App 4 - Recyclables'!W127</f>
        <v>412.21</v>
      </c>
      <c r="H126" s="127">
        <f>'App 4 - Recyclables'!X127</f>
        <v>0</v>
      </c>
      <c r="I126" s="127">
        <f>'App 5 - Organics'!V126</f>
        <v>0</v>
      </c>
      <c r="J126" s="127">
        <f>'App 5 - Organics'!W126</f>
        <v>0</v>
      </c>
      <c r="K126" s="127">
        <f>'App 5 - Organics'!X126</f>
        <v>0</v>
      </c>
      <c r="L126" s="128">
        <f>'App 6 - Residual Waste'!AC126</f>
        <v>2450.44</v>
      </c>
      <c r="M126" s="128">
        <f>'App 6 - Residual Waste'!AD126</f>
        <v>0</v>
      </c>
      <c r="N126" s="128">
        <f>'App 6 - Residual Waste'!AE126</f>
        <v>2450.44</v>
      </c>
      <c r="O126" s="121"/>
      <c r="P126" s="128">
        <f t="shared" si="28"/>
        <v>2862.65</v>
      </c>
      <c r="Q126" s="128">
        <f t="shared" si="28"/>
        <v>412.21</v>
      </c>
      <c r="R126" s="128">
        <f t="shared" si="28"/>
        <v>2450.44</v>
      </c>
      <c r="S126" s="129">
        <f t="shared" si="16"/>
        <v>0.14399594781059508</v>
      </c>
      <c r="U126" s="130">
        <f>(P126*1000)/'App 1 - Services'!F126/52</f>
        <v>7.1606349555751212</v>
      </c>
      <c r="V126" s="130">
        <f>(P126*1000)/'App 1 - Services'!G126/52</f>
        <v>13.436895664745311</v>
      </c>
      <c r="X126" s="131">
        <f t="shared" si="17"/>
        <v>0.14399594781059508</v>
      </c>
      <c r="Y126" s="132">
        <f t="shared" si="18"/>
        <v>412.21</v>
      </c>
      <c r="Z126" s="133">
        <f t="shared" si="19"/>
        <v>0.14399594781059508</v>
      </c>
      <c r="AA126" s="132">
        <f t="shared" si="20"/>
        <v>0</v>
      </c>
      <c r="AB126" s="133">
        <f t="shared" si="21"/>
        <v>0</v>
      </c>
      <c r="AC126" s="132">
        <f t="shared" si="22"/>
        <v>2450.44</v>
      </c>
      <c r="AD126" s="133">
        <f t="shared" si="23"/>
        <v>0.8560040521894049</v>
      </c>
      <c r="AF126" s="127">
        <f>'App 4 - Recyclables'!V127+'App 4 - Recyclables'!AB127</f>
        <v>412.21</v>
      </c>
      <c r="AG126" s="127">
        <f>'App 4 - Recyclables'!W127+'App 4 - Recyclables'!AC127</f>
        <v>412.21</v>
      </c>
      <c r="AH126" s="127">
        <f>'App 4 - Recyclables'!X127+'App 4 - Recyclables'!AD127</f>
        <v>0</v>
      </c>
      <c r="AI126" s="127">
        <f>'App 5 - Organics'!V126+'App 5 - Organics'!AD126</f>
        <v>108</v>
      </c>
      <c r="AJ126" s="127">
        <f>'App 5 - Organics'!W126+'App 5 - Organics'!AE126</f>
        <v>108</v>
      </c>
      <c r="AK126" s="127">
        <f>'App 5 - Organics'!X126+'App 5 - Organics'!AF126</f>
        <v>0</v>
      </c>
      <c r="AL126" s="128">
        <f>'App 6 - Residual Waste'!AC126+'App 6 - Residual Waste'!AI126</f>
        <v>3201.44</v>
      </c>
      <c r="AM126" s="128">
        <f>'App 6 - Residual Waste'!AD126+'App 6 - Residual Waste'!AJ126</f>
        <v>0</v>
      </c>
      <c r="AN126" s="128">
        <f>'App 6 - Residual Waste'!AE126+'App 6 - Residual Waste'!AK126</f>
        <v>3201.44</v>
      </c>
      <c r="AO126" s="121"/>
      <c r="AP126" s="128">
        <f t="shared" si="24"/>
        <v>3721.65</v>
      </c>
      <c r="AQ126" s="128">
        <f t="shared" si="25"/>
        <v>520.21</v>
      </c>
      <c r="AR126" s="128">
        <f t="shared" si="26"/>
        <v>3201.44</v>
      </c>
      <c r="AS126" s="129">
        <f t="shared" si="27"/>
        <v>0.13977939892252092</v>
      </c>
    </row>
    <row r="127" spans="1:45" ht="15.75" x14ac:dyDescent="0.25">
      <c r="A127" s="8">
        <v>18250</v>
      </c>
      <c r="B127" s="8" t="s">
        <v>63</v>
      </c>
      <c r="C127" s="8" t="s">
        <v>24</v>
      </c>
      <c r="D127" s="29" t="s">
        <v>2</v>
      </c>
      <c r="E127" s="126"/>
      <c r="F127" s="127">
        <f>'App 4 - Recyclables'!V128</f>
        <v>5752.23</v>
      </c>
      <c r="G127" s="127">
        <f>'App 4 - Recyclables'!W128</f>
        <v>5752.23</v>
      </c>
      <c r="H127" s="127">
        <f>'App 4 - Recyclables'!X128</f>
        <v>0</v>
      </c>
      <c r="I127" s="127">
        <f>'App 5 - Organics'!V127</f>
        <v>6989.84</v>
      </c>
      <c r="J127" s="127">
        <f>'App 5 - Organics'!W127</f>
        <v>6989.84</v>
      </c>
      <c r="K127" s="127">
        <f>'App 5 - Organics'!X127</f>
        <v>0</v>
      </c>
      <c r="L127" s="128">
        <f>'App 6 - Residual Waste'!AC127</f>
        <v>16531.560000000001</v>
      </c>
      <c r="M127" s="128">
        <f>'App 6 - Residual Waste'!AD127</f>
        <v>1735.48</v>
      </c>
      <c r="N127" s="128">
        <f>'App 6 - Residual Waste'!AE127</f>
        <v>14796.08</v>
      </c>
      <c r="O127" s="121"/>
      <c r="P127" s="128">
        <f t="shared" si="28"/>
        <v>29273.63</v>
      </c>
      <c r="Q127" s="128">
        <f t="shared" si="28"/>
        <v>14477.55</v>
      </c>
      <c r="R127" s="128">
        <f t="shared" si="28"/>
        <v>14796.08</v>
      </c>
      <c r="S127" s="129">
        <f t="shared" si="16"/>
        <v>0.49455943796515839</v>
      </c>
      <c r="U127" s="130">
        <f>(P127*1000)/'App 1 - Services'!F127/52</f>
        <v>7.2290420817849741</v>
      </c>
      <c r="V127" s="130">
        <f>(P127*1000)/'App 1 - Services'!G127/52</f>
        <v>18.27952148186262</v>
      </c>
      <c r="X127" s="131">
        <f t="shared" si="17"/>
        <v>0.49455943796515839</v>
      </c>
      <c r="Y127" s="132">
        <f t="shared" si="18"/>
        <v>5752.23</v>
      </c>
      <c r="Z127" s="133">
        <f t="shared" si="19"/>
        <v>0.19649869182605639</v>
      </c>
      <c r="AA127" s="132">
        <f t="shared" si="20"/>
        <v>6989.84</v>
      </c>
      <c r="AB127" s="133">
        <f t="shared" si="21"/>
        <v>0.23877599054165813</v>
      </c>
      <c r="AC127" s="132">
        <f t="shared" si="22"/>
        <v>16531.560000000001</v>
      </c>
      <c r="AD127" s="133">
        <f t="shared" si="23"/>
        <v>0.56472531763228551</v>
      </c>
      <c r="AF127" s="127">
        <f>'App 4 - Recyclables'!V128+'App 4 - Recyclables'!AB128</f>
        <v>5752.23</v>
      </c>
      <c r="AG127" s="127">
        <f>'App 4 - Recyclables'!W128+'App 4 - Recyclables'!AC128</f>
        <v>5752.23</v>
      </c>
      <c r="AH127" s="127">
        <f>'App 4 - Recyclables'!X128+'App 4 - Recyclables'!AD128</f>
        <v>0</v>
      </c>
      <c r="AI127" s="127">
        <f>'App 5 - Organics'!V127+'App 5 - Organics'!AD127</f>
        <v>7064.84</v>
      </c>
      <c r="AJ127" s="127">
        <f>'App 5 - Organics'!W127+'App 5 - Organics'!AE127</f>
        <v>7064.84</v>
      </c>
      <c r="AK127" s="127">
        <f>'App 5 - Organics'!X127+'App 5 - Organics'!AF127</f>
        <v>0</v>
      </c>
      <c r="AL127" s="128">
        <f>'App 6 - Residual Waste'!AC127+'App 6 - Residual Waste'!AI127</f>
        <v>17455.300000000003</v>
      </c>
      <c r="AM127" s="128">
        <f>'App 6 - Residual Waste'!AD127+'App 6 - Residual Waste'!AJ127</f>
        <v>1735.48</v>
      </c>
      <c r="AN127" s="128">
        <f>'App 6 - Residual Waste'!AE127+'App 6 - Residual Waste'!AK127</f>
        <v>15719.82</v>
      </c>
      <c r="AO127" s="121"/>
      <c r="AP127" s="128">
        <f t="shared" si="24"/>
        <v>30272.370000000003</v>
      </c>
      <c r="AQ127" s="128">
        <f t="shared" si="25"/>
        <v>14552.55</v>
      </c>
      <c r="AR127" s="128">
        <f t="shared" si="26"/>
        <v>15719.82</v>
      </c>
      <c r="AS127" s="129">
        <f t="shared" si="27"/>
        <v>0.48072053823337907</v>
      </c>
    </row>
    <row r="128" spans="1:45" ht="15.75" x14ac:dyDescent="0.25">
      <c r="A128" s="8">
        <v>18350</v>
      </c>
      <c r="B128" s="8" t="s">
        <v>64</v>
      </c>
      <c r="C128" s="8" t="s">
        <v>67</v>
      </c>
      <c r="D128" s="29" t="s">
        <v>2</v>
      </c>
      <c r="E128" s="126"/>
      <c r="F128" s="127">
        <f>'App 4 - Recyclables'!V129</f>
        <v>7458.94</v>
      </c>
      <c r="G128" s="127">
        <f>'App 4 - Recyclables'!W129</f>
        <v>5859.99</v>
      </c>
      <c r="H128" s="127">
        <f>'App 4 - Recyclables'!X129</f>
        <v>1598.95</v>
      </c>
      <c r="I128" s="127">
        <f>'App 5 - Organics'!V128</f>
        <v>10779.7</v>
      </c>
      <c r="J128" s="127">
        <f>'App 5 - Organics'!W128</f>
        <v>10240.9</v>
      </c>
      <c r="K128" s="127">
        <f>'App 5 - Organics'!X128</f>
        <v>538.79999999999995</v>
      </c>
      <c r="L128" s="128">
        <f>'App 6 - Residual Waste'!AC128</f>
        <v>19302.8</v>
      </c>
      <c r="M128" s="128">
        <f>'App 6 - Residual Waste'!AD128</f>
        <v>4036.6999999999989</v>
      </c>
      <c r="N128" s="128">
        <f>'App 6 - Residual Waste'!AE128</f>
        <v>15266.1</v>
      </c>
      <c r="O128" s="121"/>
      <c r="P128" s="128">
        <f t="shared" si="28"/>
        <v>37541.440000000002</v>
      </c>
      <c r="Q128" s="128">
        <f t="shared" si="28"/>
        <v>20137.589999999997</v>
      </c>
      <c r="R128" s="128">
        <f t="shared" si="28"/>
        <v>17403.849999999999</v>
      </c>
      <c r="S128" s="129">
        <f t="shared" si="16"/>
        <v>0.53640963159644373</v>
      </c>
      <c r="U128" s="130">
        <f>(P128*1000)/'App 1 - Services'!F128/52</f>
        <v>13.593755657812597</v>
      </c>
      <c r="V128" s="130">
        <f>(P128*1000)/'App 1 - Services'!G128/52</f>
        <v>33.263489183135327</v>
      </c>
      <c r="X128" s="131">
        <f t="shared" si="17"/>
        <v>0.53640963159644373</v>
      </c>
      <c r="Y128" s="132">
        <f t="shared" si="18"/>
        <v>7458.94</v>
      </c>
      <c r="Z128" s="133">
        <f t="shared" si="19"/>
        <v>0.19868550593690595</v>
      </c>
      <c r="AA128" s="132">
        <f t="shared" si="20"/>
        <v>10779.7</v>
      </c>
      <c r="AB128" s="133">
        <f t="shared" si="21"/>
        <v>0.28714135632517029</v>
      </c>
      <c r="AC128" s="132">
        <f t="shared" si="22"/>
        <v>19302.8</v>
      </c>
      <c r="AD128" s="133">
        <f t="shared" si="23"/>
        <v>0.51417313773792372</v>
      </c>
      <c r="AF128" s="127">
        <f>'App 4 - Recyclables'!V129+'App 4 - Recyclables'!AB129</f>
        <v>7458.94</v>
      </c>
      <c r="AG128" s="127">
        <f>'App 4 - Recyclables'!W129+'App 4 - Recyclables'!AC129</f>
        <v>5859.99</v>
      </c>
      <c r="AH128" s="127">
        <f>'App 4 - Recyclables'!X129+'App 4 - Recyclables'!AD129</f>
        <v>1598.95</v>
      </c>
      <c r="AI128" s="127">
        <f>'App 5 - Organics'!V128+'App 5 - Organics'!AD128</f>
        <v>11221.310000000001</v>
      </c>
      <c r="AJ128" s="127">
        <f>'App 5 - Organics'!W128+'App 5 - Organics'!AE128</f>
        <v>10682.51</v>
      </c>
      <c r="AK128" s="127">
        <f>'App 5 - Organics'!X128+'App 5 - Organics'!AF128</f>
        <v>538.79999999999995</v>
      </c>
      <c r="AL128" s="128">
        <f>'App 6 - Residual Waste'!AC128+'App 6 - Residual Waste'!AI128</f>
        <v>19894.66</v>
      </c>
      <c r="AM128" s="128">
        <f>'App 6 - Residual Waste'!AD128+'App 6 - Residual Waste'!AJ128</f>
        <v>4628.5599999999986</v>
      </c>
      <c r="AN128" s="128">
        <f>'App 6 - Residual Waste'!AE128+'App 6 - Residual Waste'!AK128</f>
        <v>15266.1</v>
      </c>
      <c r="AO128" s="121"/>
      <c r="AP128" s="128">
        <f t="shared" si="24"/>
        <v>38574.910000000003</v>
      </c>
      <c r="AQ128" s="128">
        <f t="shared" si="25"/>
        <v>21171.059999999998</v>
      </c>
      <c r="AR128" s="128">
        <f t="shared" si="26"/>
        <v>17403.849999999999</v>
      </c>
      <c r="AS128" s="129">
        <f t="shared" si="27"/>
        <v>0.5488297963624541</v>
      </c>
    </row>
    <row r="129" spans="1:45" ht="15.75" x14ac:dyDescent="0.25">
      <c r="A129" s="8">
        <v>18400</v>
      </c>
      <c r="B129" s="8" t="s">
        <v>170</v>
      </c>
      <c r="C129" s="8" t="s">
        <v>182</v>
      </c>
      <c r="D129" s="29" t="s">
        <v>3</v>
      </c>
      <c r="E129" s="126"/>
      <c r="F129" s="127">
        <f>'App 4 - Recyclables'!V130</f>
        <v>6040.97</v>
      </c>
      <c r="G129" s="127">
        <f>'App 4 - Recyclables'!W130</f>
        <v>4986.97</v>
      </c>
      <c r="H129" s="127">
        <f>'App 4 - Recyclables'!X130</f>
        <v>1054</v>
      </c>
      <c r="I129" s="127">
        <f>'App 5 - Organics'!V129</f>
        <v>6307</v>
      </c>
      <c r="J129" s="127">
        <f>'App 5 - Organics'!W129</f>
        <v>6120</v>
      </c>
      <c r="K129" s="127">
        <f>'App 5 - Organics'!X129</f>
        <v>187</v>
      </c>
      <c r="L129" s="128">
        <f>'App 6 - Residual Waste'!AC129</f>
        <v>17289</v>
      </c>
      <c r="M129" s="128">
        <f>'App 6 - Residual Waste'!AD129</f>
        <v>457</v>
      </c>
      <c r="N129" s="128">
        <f>'App 6 - Residual Waste'!AE129</f>
        <v>16832</v>
      </c>
      <c r="O129" s="121"/>
      <c r="P129" s="128">
        <f t="shared" si="28"/>
        <v>29636.97</v>
      </c>
      <c r="Q129" s="128">
        <f t="shared" si="28"/>
        <v>11563.970000000001</v>
      </c>
      <c r="R129" s="128">
        <f t="shared" si="28"/>
        <v>18073</v>
      </c>
      <c r="S129" s="129">
        <f t="shared" si="16"/>
        <v>0.39018732346795237</v>
      </c>
      <c r="U129" s="130">
        <f>(P129*1000)/'App 1 - Services'!F129/52</f>
        <v>9.8920739164334712</v>
      </c>
      <c r="V129" s="130">
        <f>(P129*1000)/'App 1 - Services'!G129/52</f>
        <v>25.623419986927608</v>
      </c>
      <c r="X129" s="131">
        <f t="shared" si="17"/>
        <v>0.39018732346795237</v>
      </c>
      <c r="Y129" s="132">
        <f t="shared" si="18"/>
        <v>6040.97</v>
      </c>
      <c r="Z129" s="133">
        <f t="shared" si="19"/>
        <v>0.20383224061029181</v>
      </c>
      <c r="AA129" s="132">
        <f t="shared" si="20"/>
        <v>6307</v>
      </c>
      <c r="AB129" s="133">
        <f t="shared" si="21"/>
        <v>0.2128085293469609</v>
      </c>
      <c r="AC129" s="132">
        <f t="shared" si="22"/>
        <v>17289</v>
      </c>
      <c r="AD129" s="133">
        <f t="shared" si="23"/>
        <v>0.58335923004274726</v>
      </c>
      <c r="AF129" s="127">
        <f>'App 4 - Recyclables'!V130+'App 4 - Recyclables'!AB130</f>
        <v>6040.97</v>
      </c>
      <c r="AG129" s="127">
        <f>'App 4 - Recyclables'!W130+'App 4 - Recyclables'!AC130</f>
        <v>4986.97</v>
      </c>
      <c r="AH129" s="127">
        <f>'App 4 - Recyclables'!X130+'App 4 - Recyclables'!AD130</f>
        <v>1054</v>
      </c>
      <c r="AI129" s="127">
        <f>'App 5 - Organics'!V129+'App 5 - Organics'!AD129</f>
        <v>6307</v>
      </c>
      <c r="AJ129" s="127">
        <f>'App 5 - Organics'!W129+'App 5 - Organics'!AE129</f>
        <v>6120</v>
      </c>
      <c r="AK129" s="127">
        <f>'App 5 - Organics'!X129+'App 5 - Organics'!AF129</f>
        <v>187</v>
      </c>
      <c r="AL129" s="128">
        <f>'App 6 - Residual Waste'!AC129+'App 6 - Residual Waste'!AI129</f>
        <v>17549</v>
      </c>
      <c r="AM129" s="128">
        <f>'App 6 - Residual Waste'!AD129+'App 6 - Residual Waste'!AJ129</f>
        <v>457</v>
      </c>
      <c r="AN129" s="128">
        <f>'App 6 - Residual Waste'!AE129+'App 6 - Residual Waste'!AK129</f>
        <v>17092</v>
      </c>
      <c r="AO129" s="121"/>
      <c r="AP129" s="128">
        <f t="shared" si="24"/>
        <v>29896.97</v>
      </c>
      <c r="AQ129" s="128">
        <f t="shared" si="25"/>
        <v>11563.970000000001</v>
      </c>
      <c r="AR129" s="128">
        <f t="shared" si="26"/>
        <v>18333</v>
      </c>
      <c r="AS129" s="129">
        <f t="shared" si="27"/>
        <v>0.38679404635319231</v>
      </c>
    </row>
    <row r="130" spans="1:45" ht="15.75" x14ac:dyDescent="0.25">
      <c r="A130" s="8">
        <v>18450</v>
      </c>
      <c r="B130" s="8" t="s">
        <v>171</v>
      </c>
      <c r="C130" s="8" t="s">
        <v>37</v>
      </c>
      <c r="D130" s="29" t="s">
        <v>2</v>
      </c>
      <c r="E130" s="126"/>
      <c r="F130" s="127">
        <f>'App 4 - Recyclables'!V131</f>
        <v>18172.88</v>
      </c>
      <c r="G130" s="127">
        <f>'App 4 - Recyclables'!W131</f>
        <v>16589.86</v>
      </c>
      <c r="H130" s="127">
        <f>'App 4 - Recyclables'!X131</f>
        <v>1583.02</v>
      </c>
      <c r="I130" s="127">
        <f>'App 5 - Organics'!V130</f>
        <v>31759.13</v>
      </c>
      <c r="J130" s="127">
        <f>'App 5 - Organics'!W130</f>
        <v>31432.190000000002</v>
      </c>
      <c r="K130" s="127">
        <f>'App 5 - Organics'!X130</f>
        <v>326.94</v>
      </c>
      <c r="L130" s="128">
        <f>'App 6 - Residual Waste'!AC130</f>
        <v>41615.68</v>
      </c>
      <c r="M130" s="128">
        <f>'App 6 - Residual Waste'!AD130</f>
        <v>44.699999999999818</v>
      </c>
      <c r="N130" s="128">
        <f>'App 6 - Residual Waste'!AE130</f>
        <v>41570.979999999996</v>
      </c>
      <c r="O130" s="121"/>
      <c r="P130" s="128">
        <f t="shared" si="28"/>
        <v>91547.69</v>
      </c>
      <c r="Q130" s="128">
        <f t="shared" si="28"/>
        <v>48066.75</v>
      </c>
      <c r="R130" s="128">
        <f t="shared" si="28"/>
        <v>43480.939999999995</v>
      </c>
      <c r="S130" s="129">
        <f t="shared" si="16"/>
        <v>0.52504601699944586</v>
      </c>
      <c r="U130" s="130">
        <f>(P130*1000)/'App 1 - Services'!F130/52</f>
        <v>8.0337887478837828</v>
      </c>
      <c r="V130" s="130">
        <f>(P130*1000)/'App 1 - Services'!G130/52</f>
        <v>16.411548930775396</v>
      </c>
      <c r="X130" s="131">
        <f t="shared" si="17"/>
        <v>0.52504601699944586</v>
      </c>
      <c r="Y130" s="132">
        <f t="shared" si="18"/>
        <v>18172.88</v>
      </c>
      <c r="Z130" s="133">
        <f t="shared" si="19"/>
        <v>0.19850724797097558</v>
      </c>
      <c r="AA130" s="132">
        <f t="shared" si="20"/>
        <v>31759.13</v>
      </c>
      <c r="AB130" s="133">
        <f t="shared" si="21"/>
        <v>0.34691350486287531</v>
      </c>
      <c r="AC130" s="132">
        <f t="shared" si="22"/>
        <v>41615.68</v>
      </c>
      <c r="AD130" s="133">
        <f t="shared" si="23"/>
        <v>0.45457924716614911</v>
      </c>
      <c r="AF130" s="127">
        <f>'App 4 - Recyclables'!V131+'App 4 - Recyclables'!AB131</f>
        <v>18172.88</v>
      </c>
      <c r="AG130" s="127">
        <f>'App 4 - Recyclables'!W131+'App 4 - Recyclables'!AC131</f>
        <v>16589.86</v>
      </c>
      <c r="AH130" s="127">
        <f>'App 4 - Recyclables'!X131+'App 4 - Recyclables'!AD131</f>
        <v>1583.02</v>
      </c>
      <c r="AI130" s="127">
        <f>'App 5 - Organics'!V130+'App 5 - Organics'!AD130</f>
        <v>31759.13</v>
      </c>
      <c r="AJ130" s="127">
        <f>'App 5 - Organics'!W130+'App 5 - Organics'!AE130</f>
        <v>31432.190000000002</v>
      </c>
      <c r="AK130" s="127">
        <f>'App 5 - Organics'!X130+'App 5 - Organics'!AF130</f>
        <v>326.94</v>
      </c>
      <c r="AL130" s="128">
        <f>'App 6 - Residual Waste'!AC130+'App 6 - Residual Waste'!AI130</f>
        <v>41615.68</v>
      </c>
      <c r="AM130" s="128">
        <f>'App 6 - Residual Waste'!AD130+'App 6 - Residual Waste'!AJ130</f>
        <v>44.699999999999818</v>
      </c>
      <c r="AN130" s="128">
        <f>'App 6 - Residual Waste'!AE130+'App 6 - Residual Waste'!AK130</f>
        <v>41570.979999999996</v>
      </c>
      <c r="AO130" s="121"/>
      <c r="AP130" s="128">
        <f t="shared" si="24"/>
        <v>91547.69</v>
      </c>
      <c r="AQ130" s="128">
        <f t="shared" si="25"/>
        <v>48066.75</v>
      </c>
      <c r="AR130" s="128">
        <f t="shared" si="26"/>
        <v>43480.939999999995</v>
      </c>
      <c r="AS130" s="129">
        <f t="shared" si="27"/>
        <v>0.52504601699944586</v>
      </c>
    </row>
    <row r="131" spans="1:45" ht="15.75" x14ac:dyDescent="0.25">
      <c r="A131" s="8">
        <v>18500</v>
      </c>
      <c r="B131" s="8" t="s">
        <v>65</v>
      </c>
      <c r="C131" s="8" t="s">
        <v>17</v>
      </c>
      <c r="D131" s="29" t="s">
        <v>2</v>
      </c>
      <c r="E131" s="126"/>
      <c r="F131" s="127">
        <f>'App 4 - Recyclables'!V132</f>
        <v>7630.17</v>
      </c>
      <c r="G131" s="127">
        <f>'App 4 - Recyclables'!W132</f>
        <v>7630.17</v>
      </c>
      <c r="H131" s="127">
        <f>'App 4 - Recyclables'!X132</f>
        <v>0</v>
      </c>
      <c r="I131" s="127">
        <f>'App 5 - Organics'!V131</f>
        <v>4175.29</v>
      </c>
      <c r="J131" s="127">
        <f>'App 5 - Organics'!W131</f>
        <v>4175.29</v>
      </c>
      <c r="K131" s="127">
        <f>'App 5 - Organics'!X131</f>
        <v>0</v>
      </c>
      <c r="L131" s="128">
        <f>'App 6 - Residual Waste'!AC131</f>
        <v>10374.77</v>
      </c>
      <c r="M131" s="128">
        <f>'App 6 - Residual Waste'!AD131</f>
        <v>2244.6</v>
      </c>
      <c r="N131" s="128">
        <f>'App 6 - Residual Waste'!AE131</f>
        <v>8130.17</v>
      </c>
      <c r="O131" s="121"/>
      <c r="P131" s="128">
        <f t="shared" si="28"/>
        <v>22180.23</v>
      </c>
      <c r="Q131" s="128">
        <f t="shared" si="28"/>
        <v>14050.06</v>
      </c>
      <c r="R131" s="128">
        <f t="shared" si="28"/>
        <v>8130.17</v>
      </c>
      <c r="S131" s="129">
        <f t="shared" si="16"/>
        <v>0.63344969822224562</v>
      </c>
      <c r="U131" s="130">
        <f>(P131*1000)/'App 1 - Services'!F131/52</f>
        <v>7.8035653972810941</v>
      </c>
      <c r="V131" s="130">
        <f>(P131*1000)/'App 1 - Services'!G131/52</f>
        <v>16.4923978121403</v>
      </c>
      <c r="X131" s="131">
        <f t="shared" si="17"/>
        <v>0.63344969822224562</v>
      </c>
      <c r="Y131" s="132">
        <f t="shared" si="18"/>
        <v>7630.17</v>
      </c>
      <c r="Z131" s="133">
        <f t="shared" si="19"/>
        <v>0.34400770415816251</v>
      </c>
      <c r="AA131" s="132">
        <f t="shared" si="20"/>
        <v>4175.29</v>
      </c>
      <c r="AB131" s="133">
        <f t="shared" si="21"/>
        <v>0.18824376483021141</v>
      </c>
      <c r="AC131" s="132">
        <f t="shared" si="22"/>
        <v>10374.77</v>
      </c>
      <c r="AD131" s="133">
        <f t="shared" si="23"/>
        <v>0.46774853101162617</v>
      </c>
      <c r="AF131" s="127">
        <f>'App 4 - Recyclables'!V132+'App 4 - Recyclables'!AB132</f>
        <v>7630.17</v>
      </c>
      <c r="AG131" s="127">
        <f>'App 4 - Recyclables'!W132+'App 4 - Recyclables'!AC132</f>
        <v>7630.17</v>
      </c>
      <c r="AH131" s="127">
        <f>'App 4 - Recyclables'!X132+'App 4 - Recyclables'!AD132</f>
        <v>0</v>
      </c>
      <c r="AI131" s="127">
        <f>'App 5 - Organics'!V131+'App 5 - Organics'!AD131</f>
        <v>4175.29</v>
      </c>
      <c r="AJ131" s="127">
        <f>'App 5 - Organics'!W131+'App 5 - Organics'!AE131</f>
        <v>4175.29</v>
      </c>
      <c r="AK131" s="127">
        <f>'App 5 - Organics'!X131+'App 5 - Organics'!AF131</f>
        <v>0</v>
      </c>
      <c r="AL131" s="128">
        <f>'App 6 - Residual Waste'!AC131+'App 6 - Residual Waste'!AI131</f>
        <v>10812.890000000001</v>
      </c>
      <c r="AM131" s="128">
        <f>'App 6 - Residual Waste'!AD131+'App 6 - Residual Waste'!AJ131</f>
        <v>2244.6</v>
      </c>
      <c r="AN131" s="128">
        <f>'App 6 - Residual Waste'!AE131+'App 6 - Residual Waste'!AK131</f>
        <v>8568.2900000000009</v>
      </c>
      <c r="AO131" s="121"/>
      <c r="AP131" s="128">
        <f t="shared" si="24"/>
        <v>22618.35</v>
      </c>
      <c r="AQ131" s="128">
        <f t="shared" si="25"/>
        <v>14050.06</v>
      </c>
      <c r="AR131" s="128">
        <f t="shared" si="26"/>
        <v>8568.2900000000009</v>
      </c>
      <c r="AS131" s="129">
        <f t="shared" si="27"/>
        <v>0.62117970585829652</v>
      </c>
    </row>
    <row r="132" spans="1:45" ht="15.75" x14ac:dyDescent="0.25">
      <c r="A132" s="8">
        <v>18710</v>
      </c>
      <c r="B132" s="8" t="s">
        <v>172</v>
      </c>
      <c r="C132" s="8" t="s">
        <v>67</v>
      </c>
      <c r="D132" s="29" t="s">
        <v>1</v>
      </c>
      <c r="E132" s="126"/>
      <c r="F132" s="127">
        <f>'App 4 - Recyclables'!V133</f>
        <v>1926.8999999999999</v>
      </c>
      <c r="G132" s="127">
        <f>'App 4 - Recyclables'!W133</f>
        <v>1904.8999999999999</v>
      </c>
      <c r="H132" s="127">
        <f>'App 4 - Recyclables'!X133</f>
        <v>22</v>
      </c>
      <c r="I132" s="127">
        <f>'App 5 - Organics'!V132</f>
        <v>5800</v>
      </c>
      <c r="J132" s="127">
        <f>'App 5 - Organics'!W132</f>
        <v>5500</v>
      </c>
      <c r="K132" s="127">
        <f>'App 5 - Organics'!X132</f>
        <v>300</v>
      </c>
      <c r="L132" s="128">
        <f>'App 6 - Residual Waste'!AC132</f>
        <v>10079.32</v>
      </c>
      <c r="M132" s="128">
        <f>'App 6 - Residual Waste'!AD132</f>
        <v>2102</v>
      </c>
      <c r="N132" s="128">
        <f>'App 6 - Residual Waste'!AE132</f>
        <v>7977.32</v>
      </c>
      <c r="O132" s="121"/>
      <c r="P132" s="128">
        <f t="shared" si="28"/>
        <v>17806.22</v>
      </c>
      <c r="Q132" s="128">
        <f t="shared" si="28"/>
        <v>9506.9</v>
      </c>
      <c r="R132" s="128">
        <f t="shared" si="28"/>
        <v>8299.32</v>
      </c>
      <c r="S132" s="129">
        <f t="shared" si="16"/>
        <v>0.53390893743871515</v>
      </c>
      <c r="U132" s="130">
        <f>(P132*1000)/'App 1 - Services'!F132/52</f>
        <v>19.59302555886638</v>
      </c>
      <c r="V132" s="130">
        <f>(P132*1000)/'App 1 - Services'!G132/52</f>
        <v>41.561756001008341</v>
      </c>
      <c r="X132" s="131">
        <f t="shared" si="17"/>
        <v>0.53390893743871515</v>
      </c>
      <c r="Y132" s="132">
        <f t="shared" si="18"/>
        <v>1926.8999999999999</v>
      </c>
      <c r="Z132" s="133">
        <f t="shared" si="19"/>
        <v>0.10821499453561731</v>
      </c>
      <c r="AA132" s="132">
        <f t="shared" si="20"/>
        <v>5800</v>
      </c>
      <c r="AB132" s="133">
        <f t="shared" si="21"/>
        <v>0.32572887451688226</v>
      </c>
      <c r="AC132" s="132">
        <f t="shared" si="22"/>
        <v>10079.32</v>
      </c>
      <c r="AD132" s="133">
        <f t="shared" si="23"/>
        <v>0.56605613094750029</v>
      </c>
      <c r="AF132" s="127">
        <f>'App 4 - Recyclables'!V133+'App 4 - Recyclables'!AB133</f>
        <v>1926.8999999999999</v>
      </c>
      <c r="AG132" s="127">
        <f>'App 4 - Recyclables'!W133+'App 4 - Recyclables'!AC133</f>
        <v>1904.8999999999999</v>
      </c>
      <c r="AH132" s="127">
        <f>'App 4 - Recyclables'!X133+'App 4 - Recyclables'!AD133</f>
        <v>22</v>
      </c>
      <c r="AI132" s="127">
        <f>'App 5 - Organics'!V132+'App 5 - Organics'!AD132</f>
        <v>5800</v>
      </c>
      <c r="AJ132" s="127">
        <f>'App 5 - Organics'!W132+'App 5 - Organics'!AE132</f>
        <v>5500</v>
      </c>
      <c r="AK132" s="127">
        <f>'App 5 - Organics'!X132+'App 5 - Organics'!AF132</f>
        <v>300</v>
      </c>
      <c r="AL132" s="128">
        <f>'App 6 - Residual Waste'!AC132+'App 6 - Residual Waste'!AI132</f>
        <v>10079.32</v>
      </c>
      <c r="AM132" s="128">
        <f>'App 6 - Residual Waste'!AD132+'App 6 - Residual Waste'!AJ132</f>
        <v>2102</v>
      </c>
      <c r="AN132" s="128">
        <f>'App 6 - Residual Waste'!AE132+'App 6 - Residual Waste'!AK132</f>
        <v>7977.32</v>
      </c>
      <c r="AO132" s="121"/>
      <c r="AP132" s="128">
        <f t="shared" si="24"/>
        <v>17806.22</v>
      </c>
      <c r="AQ132" s="128">
        <f t="shared" si="25"/>
        <v>9506.9</v>
      </c>
      <c r="AR132" s="128">
        <f t="shared" si="26"/>
        <v>8299.32</v>
      </c>
      <c r="AS132" s="129">
        <f t="shared" si="27"/>
        <v>0.53390893743871515</v>
      </c>
    </row>
    <row r="133" spans="1:45" s="134" customFormat="1" ht="15.75" x14ac:dyDescent="0.25">
      <c r="A133" s="719" t="s">
        <v>223</v>
      </c>
      <c r="B133" s="719"/>
      <c r="C133" s="719"/>
      <c r="D133" s="135"/>
      <c r="F133" s="564"/>
      <c r="G133" s="137"/>
      <c r="H133" s="564"/>
      <c r="I133" s="138"/>
      <c r="J133" s="138"/>
      <c r="K133" s="564"/>
      <c r="L133" s="138"/>
      <c r="M133" s="564"/>
      <c r="N133" s="564"/>
      <c r="O133" s="121"/>
      <c r="P133" s="139"/>
      <c r="Q133" s="119"/>
      <c r="R133" s="119"/>
      <c r="S133" s="119"/>
      <c r="AF133" s="564"/>
      <c r="AG133" s="137"/>
      <c r="AH133" s="138"/>
      <c r="AI133" s="138"/>
      <c r="AJ133" s="138"/>
      <c r="AK133" s="138"/>
      <c r="AL133" s="138"/>
      <c r="AM133" s="138"/>
      <c r="AN133" s="138"/>
      <c r="AO133" s="121"/>
      <c r="AP133" s="139"/>
      <c r="AQ133" s="119"/>
      <c r="AR133" s="119"/>
      <c r="AS133" s="119"/>
    </row>
    <row r="134" spans="1:45" s="134" customFormat="1" ht="15" customHeight="1" x14ac:dyDescent="0.2">
      <c r="A134" s="698" t="s">
        <v>7</v>
      </c>
      <c r="B134" s="699"/>
      <c r="C134" s="700"/>
      <c r="D134" s="135"/>
      <c r="F134" s="140">
        <f>SUM(F5:F132)</f>
        <v>794381.61800000002</v>
      </c>
      <c r="G134" s="140">
        <f t="shared" ref="G134:R134" si="29">SUM(G5:G132)</f>
        <v>738702.098</v>
      </c>
      <c r="H134" s="140">
        <f t="shared" si="29"/>
        <v>55679.520000000004</v>
      </c>
      <c r="I134" s="140">
        <f t="shared" si="29"/>
        <v>843621.95000000042</v>
      </c>
      <c r="J134" s="140">
        <f t="shared" si="29"/>
        <v>816547.11999999988</v>
      </c>
      <c r="K134" s="140">
        <f t="shared" si="29"/>
        <v>27074.829999999998</v>
      </c>
      <c r="L134" s="140">
        <f t="shared" si="29"/>
        <v>2218227.6699999995</v>
      </c>
      <c r="M134" s="140">
        <f t="shared" si="29"/>
        <v>277705.95</v>
      </c>
      <c r="N134" s="140">
        <f t="shared" si="29"/>
        <v>1940521.7200000002</v>
      </c>
      <c r="O134" s="140"/>
      <c r="P134" s="140">
        <f>SUM(P5:P132)</f>
        <v>3856231.2380000022</v>
      </c>
      <c r="Q134" s="140">
        <f t="shared" si="29"/>
        <v>1832955.1679999991</v>
      </c>
      <c r="R134" s="140">
        <f t="shared" si="29"/>
        <v>2023276.0699999998</v>
      </c>
      <c r="S134" s="141">
        <f>Q134/P134</f>
        <v>0.47532293964576772</v>
      </c>
      <c r="U134" s="142">
        <f>(P134*1000)/'App 1 - Services'!F134/52</f>
        <v>8.8905256942180504</v>
      </c>
      <c r="V134" s="142">
        <f>(P134*1000)/'App 1 - Services'!G134/52</f>
        <v>21.111821793009305</v>
      </c>
      <c r="W134" s="231"/>
      <c r="X134" s="153">
        <f>F134+I134</f>
        <v>1638003.5680000004</v>
      </c>
      <c r="Y134" s="143"/>
      <c r="Z134" s="153"/>
      <c r="AA134" s="144"/>
      <c r="AF134" s="140">
        <f>SUM(AF5:AF132)</f>
        <v>816797.72799999989</v>
      </c>
      <c r="AG134" s="140">
        <f t="shared" ref="AG134:AN134" si="30">SUM(AG5:AG132)</f>
        <v>760716.228</v>
      </c>
      <c r="AH134" s="140">
        <f t="shared" si="30"/>
        <v>56081.500000000007</v>
      </c>
      <c r="AI134" s="140">
        <f t="shared" si="30"/>
        <v>887381.96000000031</v>
      </c>
      <c r="AJ134" s="140">
        <f t="shared" si="30"/>
        <v>860305.13000000012</v>
      </c>
      <c r="AK134" s="140">
        <f t="shared" si="30"/>
        <v>27076.829999999998</v>
      </c>
      <c r="AL134" s="140">
        <f t="shared" si="30"/>
        <v>2338061.7699999996</v>
      </c>
      <c r="AM134" s="140">
        <f t="shared" si="30"/>
        <v>286625.05</v>
      </c>
      <c r="AN134" s="140">
        <f t="shared" si="30"/>
        <v>2051436.72</v>
      </c>
      <c r="AO134" s="140"/>
      <c r="AP134" s="140">
        <f>SUM(AP5:AP132)</f>
        <v>4042241.4580000034</v>
      </c>
      <c r="AQ134" s="140">
        <f t="shared" ref="AQ134:AR134" si="31">SUM(AQ5:AQ132)</f>
        <v>1907646.4079999991</v>
      </c>
      <c r="AR134" s="140">
        <f t="shared" si="31"/>
        <v>2134595.0499999998</v>
      </c>
      <c r="AS134" s="141">
        <f>AQ134/AP134</f>
        <v>0.47192787165758604</v>
      </c>
    </row>
    <row r="135" spans="1:45" s="134" customFormat="1" ht="11.25" x14ac:dyDescent="0.2">
      <c r="D135" s="135"/>
      <c r="F135" s="137"/>
      <c r="G135" s="145"/>
      <c r="H135" s="145"/>
      <c r="I135" s="145"/>
      <c r="J135" s="145"/>
      <c r="K135" s="145"/>
      <c r="L135" s="145"/>
      <c r="M135" s="145"/>
      <c r="N135" s="145"/>
      <c r="O135" s="145"/>
      <c r="P135" s="137"/>
      <c r="Q135" s="145"/>
      <c r="R135" s="137"/>
      <c r="S135" s="145"/>
      <c r="W135" s="144"/>
      <c r="AF135" s="137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37"/>
      <c r="AQ135" s="145"/>
      <c r="AR135" s="137"/>
      <c r="AS135" s="145"/>
    </row>
    <row r="136" spans="1:45" s="134" customFormat="1" ht="15" customHeight="1" x14ac:dyDescent="0.2">
      <c r="A136" s="694" t="s">
        <v>458</v>
      </c>
      <c r="B136" s="694"/>
      <c r="C136" s="694"/>
      <c r="D136" s="135"/>
      <c r="E136" s="146"/>
      <c r="F136" s="147">
        <f t="shared" ref="F136:N136" si="32">SUMIF($D$5:$D$132,"S",F$5:F$132)</f>
        <v>525051.29</v>
      </c>
      <c r="G136" s="147">
        <f t="shared" si="32"/>
        <v>488030.82999999996</v>
      </c>
      <c r="H136" s="147">
        <f t="shared" si="32"/>
        <v>37020.46</v>
      </c>
      <c r="I136" s="147">
        <f t="shared" si="32"/>
        <v>547018.00000000012</v>
      </c>
      <c r="J136" s="147">
        <f t="shared" si="32"/>
        <v>538939.44000000006</v>
      </c>
      <c r="K136" s="147">
        <f t="shared" si="32"/>
        <v>8078.5599999999995</v>
      </c>
      <c r="L136" s="147">
        <f t="shared" si="32"/>
        <v>1602889.03</v>
      </c>
      <c r="M136" s="147">
        <f t="shared" si="32"/>
        <v>246195.08000000007</v>
      </c>
      <c r="N136" s="147">
        <f t="shared" si="32"/>
        <v>1356693.9500000002</v>
      </c>
      <c r="O136" s="148"/>
      <c r="P136" s="147">
        <f>SUMIF($D$5:$D$132,"S",P$5:P$132)</f>
        <v>2674958.3200000003</v>
      </c>
      <c r="Q136" s="147">
        <f>SUMIF($D$5:$D$132,"S",Q$5:Q$132)</f>
        <v>1273165.3500000001</v>
      </c>
      <c r="R136" s="147">
        <f>SUMIF($D$5:$D$132,"S",R$5:R$132)</f>
        <v>1401792.9700000002</v>
      </c>
      <c r="S136" s="148">
        <f>Q136/P136</f>
        <v>0.47595707958544936</v>
      </c>
      <c r="U136" s="142">
        <f>(P136*1000)/'App 1 - Services'!F187/52</f>
        <v>7.9951374938194402</v>
      </c>
      <c r="V136" s="142">
        <f>(P136*1000)/'App 1 - Services'!G187/52</f>
        <v>20.043618590865055</v>
      </c>
      <c r="W136" s="134" t="s">
        <v>458</v>
      </c>
      <c r="X136" s="149">
        <f>P136/$P$134</f>
        <v>0.69367165890895643</v>
      </c>
      <c r="AF136" s="147">
        <f t="shared" ref="AF136:AN136" si="33">SUMIF($D$5:$D$132,"S",AF$5:AF$132)</f>
        <v>525440.62999999989</v>
      </c>
      <c r="AG136" s="147">
        <f t="shared" si="33"/>
        <v>488276.05999999988</v>
      </c>
      <c r="AH136" s="147">
        <f t="shared" si="33"/>
        <v>37164.57</v>
      </c>
      <c r="AI136" s="147">
        <f t="shared" si="33"/>
        <v>561576.75000000012</v>
      </c>
      <c r="AJ136" s="147">
        <f t="shared" si="33"/>
        <v>553498.18999999994</v>
      </c>
      <c r="AK136" s="147">
        <f t="shared" si="33"/>
        <v>8078.5599999999995</v>
      </c>
      <c r="AL136" s="147">
        <f t="shared" si="33"/>
        <v>1630093.3800000001</v>
      </c>
      <c r="AM136" s="147">
        <f t="shared" si="33"/>
        <v>251914.79000000007</v>
      </c>
      <c r="AN136" s="147">
        <f t="shared" si="33"/>
        <v>1378178.59</v>
      </c>
      <c r="AO136" s="148"/>
      <c r="AP136" s="147">
        <f>SUMIF($D$5:$D$132,"S",AP$5:AP$132)</f>
        <v>2717110.7600000012</v>
      </c>
      <c r="AQ136" s="147">
        <f>SUMIF($D$5:$D$132,"S",AQ$5:AQ$132)</f>
        <v>1293689.0400000003</v>
      </c>
      <c r="AR136" s="147">
        <f>SUMIF($D$5:$D$132,"S",AR$5:AR$132)</f>
        <v>1423421.7200000002</v>
      </c>
      <c r="AS136" s="148">
        <f>AQ136/AP136</f>
        <v>0.47612672219515989</v>
      </c>
    </row>
    <row r="137" spans="1:45" s="134" customFormat="1" ht="15" customHeight="1" x14ac:dyDescent="0.2">
      <c r="A137" s="694" t="s">
        <v>460</v>
      </c>
      <c r="B137" s="694"/>
      <c r="C137" s="694"/>
      <c r="D137" s="135"/>
      <c r="E137" s="146"/>
      <c r="F137" s="147">
        <f t="shared" ref="F137:N137" si="34">SUMIF($D$5:$D$132,"R",F$5:F$132)</f>
        <v>118627.148</v>
      </c>
      <c r="G137" s="147">
        <f t="shared" si="34"/>
        <v>110500.85800000001</v>
      </c>
      <c r="H137" s="147">
        <f t="shared" si="34"/>
        <v>8126.2900000000009</v>
      </c>
      <c r="I137" s="147">
        <f t="shared" si="34"/>
        <v>136328.14000000001</v>
      </c>
      <c r="J137" s="147">
        <f t="shared" si="34"/>
        <v>134911.69</v>
      </c>
      <c r="K137" s="147">
        <f t="shared" si="34"/>
        <v>1416.45</v>
      </c>
      <c r="L137" s="147">
        <f t="shared" si="34"/>
        <v>215234.26</v>
      </c>
      <c r="M137" s="147">
        <f t="shared" si="34"/>
        <v>11724.330000000002</v>
      </c>
      <c r="N137" s="147">
        <f t="shared" si="34"/>
        <v>203509.93000000002</v>
      </c>
      <c r="O137" s="148"/>
      <c r="P137" s="147">
        <f>SUMIF($D$5:$D$132,"R",P$5:P$132)</f>
        <v>470189.54800000007</v>
      </c>
      <c r="Q137" s="147">
        <f>SUMIF($D$5:$D$132,"R",Q$5:Q$132)</f>
        <v>257136.878</v>
      </c>
      <c r="R137" s="147">
        <f>SUMIF($D$5:$D$132,"R",R$5:R$132)</f>
        <v>213052.66999999998</v>
      </c>
      <c r="S137" s="148">
        <f>Q137/P137</f>
        <v>0.54687918753991516</v>
      </c>
      <c r="U137" s="142">
        <f>(P137*1000)/'App 1 - Services'!F216/52</f>
        <v>10.618983225337395</v>
      </c>
      <c r="V137" s="142">
        <f>(P137*1000)/'App 1 - Services'!G216/52</f>
        <v>22.788830762561666</v>
      </c>
      <c r="W137" s="134" t="s">
        <v>460</v>
      </c>
      <c r="X137" s="149">
        <f>P137/$P$134</f>
        <v>0.12192981151303038</v>
      </c>
      <c r="Y137" s="149"/>
      <c r="Z137"/>
      <c r="AF137" s="147">
        <f t="shared" ref="AF137:AN137" si="35">SUMIF($D$5:$D$132,"R",AF$5:AF$132)</f>
        <v>139791.70800000004</v>
      </c>
      <c r="AG137" s="147">
        <f t="shared" si="35"/>
        <v>131458.04800000001</v>
      </c>
      <c r="AH137" s="147">
        <f t="shared" si="35"/>
        <v>8333.66</v>
      </c>
      <c r="AI137" s="147">
        <f t="shared" si="35"/>
        <v>151571.13</v>
      </c>
      <c r="AJ137" s="147">
        <f t="shared" si="35"/>
        <v>150154.68</v>
      </c>
      <c r="AK137" s="147">
        <f t="shared" si="35"/>
        <v>1416.45</v>
      </c>
      <c r="AL137" s="147">
        <f t="shared" si="35"/>
        <v>257492.47</v>
      </c>
      <c r="AM137" s="147">
        <f t="shared" si="35"/>
        <v>12978.849999999999</v>
      </c>
      <c r="AN137" s="147">
        <f t="shared" si="35"/>
        <v>244513.62000000002</v>
      </c>
      <c r="AO137" s="148"/>
      <c r="AP137" s="147">
        <f>SUMIF($D$5:$D$132,"R",AP$5:AP$132)</f>
        <v>548855.30799999996</v>
      </c>
      <c r="AQ137" s="147">
        <f>SUMIF($D$5:$D$132,"R",AQ$5:AQ$132)</f>
        <v>294591.57799999998</v>
      </c>
      <c r="AR137" s="147">
        <f>SUMIF($D$5:$D$132,"R",AR$5:AR$132)</f>
        <v>254263.72999999998</v>
      </c>
      <c r="AS137" s="148">
        <f>AQ137/AP137</f>
        <v>0.53673814155770172</v>
      </c>
    </row>
    <row r="138" spans="1:45" s="134" customFormat="1" ht="15" customHeight="1" x14ac:dyDescent="0.2">
      <c r="A138" s="694" t="s">
        <v>463</v>
      </c>
      <c r="B138" s="694"/>
      <c r="C138" s="694"/>
      <c r="D138" s="135"/>
      <c r="E138" s="146"/>
      <c r="F138" s="147">
        <f t="shared" ref="F138:N138" si="36">SUMIF($D$5:$D$132,"N",F$5:F$132)</f>
        <v>150703.18000000005</v>
      </c>
      <c r="G138" s="147">
        <f t="shared" si="36"/>
        <v>140170.41</v>
      </c>
      <c r="H138" s="147">
        <f t="shared" si="36"/>
        <v>10532.769999999997</v>
      </c>
      <c r="I138" s="147">
        <f t="shared" si="36"/>
        <v>160275.80999999994</v>
      </c>
      <c r="J138" s="147">
        <f t="shared" si="36"/>
        <v>142695.98999999996</v>
      </c>
      <c r="K138" s="147">
        <f t="shared" si="36"/>
        <v>17579.819999999996</v>
      </c>
      <c r="L138" s="147">
        <f t="shared" si="36"/>
        <v>400104.38000000012</v>
      </c>
      <c r="M138" s="147">
        <f t="shared" si="36"/>
        <v>19786.54</v>
      </c>
      <c r="N138" s="147">
        <f t="shared" si="36"/>
        <v>380317.83999999997</v>
      </c>
      <c r="O138" s="148"/>
      <c r="P138" s="147">
        <f>SUMIF($D$5:$D$132,"N",P$5:P$132)</f>
        <v>711083.37000000023</v>
      </c>
      <c r="Q138" s="147">
        <f>SUMIF($D$5:$D$132,"N",Q$5:Q$132)</f>
        <v>302652.93999999994</v>
      </c>
      <c r="R138" s="147">
        <f>SUMIF($D$5:$D$132,"N",R$5:R$132)</f>
        <v>408430.43000000005</v>
      </c>
      <c r="S138" s="148">
        <f>Q138/P138</f>
        <v>0.42562230079997487</v>
      </c>
      <c r="U138" s="142">
        <f>(P138*1000)/'App 1 - Services'!F293/52</f>
        <v>12.953568014508049</v>
      </c>
      <c r="V138" s="142">
        <f>(P138*1000)/'App 1 - Services'!G293/52</f>
        <v>24.890796819560158</v>
      </c>
      <c r="W138" s="134" t="s">
        <v>11</v>
      </c>
      <c r="X138" s="149">
        <f>P138/$P$134</f>
        <v>0.18439852957801278</v>
      </c>
      <c r="Z138"/>
      <c r="AF138" s="147">
        <f t="shared" ref="AF138:AN138" si="37">SUMIF($D$5:$D$132,"N",AF$5:AF$132)</f>
        <v>151565.39000000004</v>
      </c>
      <c r="AG138" s="147">
        <f t="shared" si="37"/>
        <v>140982.12</v>
      </c>
      <c r="AH138" s="147">
        <f t="shared" si="37"/>
        <v>10583.269999999997</v>
      </c>
      <c r="AI138" s="147">
        <f t="shared" si="37"/>
        <v>174234.07999999996</v>
      </c>
      <c r="AJ138" s="147">
        <f t="shared" si="37"/>
        <v>156652.26</v>
      </c>
      <c r="AK138" s="147">
        <f t="shared" si="37"/>
        <v>17581.819999999996</v>
      </c>
      <c r="AL138" s="147">
        <f t="shared" si="37"/>
        <v>450475.92000000004</v>
      </c>
      <c r="AM138" s="147">
        <f t="shared" si="37"/>
        <v>21731.41</v>
      </c>
      <c r="AN138" s="147">
        <f t="shared" si="37"/>
        <v>428744.51</v>
      </c>
      <c r="AO138" s="148"/>
      <c r="AP138" s="147">
        <f>SUMIF($D$5:$D$132,"N",AP$5:AP$132)</f>
        <v>776275.39000000013</v>
      </c>
      <c r="AQ138" s="147">
        <f>SUMIF($D$5:$D$132,"N",AQ$5:AQ$132)</f>
        <v>319365.78999999998</v>
      </c>
      <c r="AR138" s="147">
        <f>SUMIF($D$5:$D$132,"N",AR$5:AR$132)</f>
        <v>456909.60000000009</v>
      </c>
      <c r="AS138" s="148">
        <f>AQ138/AP138</f>
        <v>0.4114078510204992</v>
      </c>
    </row>
    <row r="139" spans="1:45" s="134" customFormat="1" ht="15" customHeight="1" x14ac:dyDescent="0.2">
      <c r="A139" s="95"/>
      <c r="B139" s="95"/>
      <c r="C139" s="95"/>
      <c r="D139" s="135"/>
      <c r="E139" s="146"/>
      <c r="F139" s="151"/>
      <c r="G139" s="151"/>
      <c r="H139" s="151"/>
      <c r="I139" s="151"/>
      <c r="J139" s="151"/>
      <c r="K139" s="151"/>
      <c r="L139" s="151"/>
      <c r="M139" s="151"/>
      <c r="N139" s="151"/>
      <c r="O139" s="152"/>
      <c r="P139" s="151"/>
      <c r="Q139" s="151"/>
      <c r="R139" s="151"/>
      <c r="S139" s="152"/>
      <c r="U139" s="142"/>
      <c r="V139" s="142"/>
      <c r="X139" s="149"/>
      <c r="Z139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2"/>
      <c r="AP139" s="151"/>
      <c r="AQ139" s="151"/>
      <c r="AR139" s="151"/>
      <c r="AS139" s="152"/>
    </row>
    <row r="140" spans="1:45" s="134" customFormat="1" ht="15" customHeight="1" x14ac:dyDescent="0.2">
      <c r="A140" s="95"/>
      <c r="B140" s="95"/>
      <c r="C140" s="95"/>
      <c r="D140" s="135"/>
      <c r="E140" s="146"/>
      <c r="F140" s="151"/>
      <c r="G140" s="151"/>
      <c r="H140" s="151"/>
      <c r="I140" s="151"/>
      <c r="J140" s="151"/>
      <c r="K140" s="151"/>
      <c r="L140" s="151"/>
      <c r="M140" s="151"/>
      <c r="N140" s="151"/>
      <c r="O140" s="152"/>
      <c r="P140" s="622"/>
      <c r="Q140" s="151"/>
      <c r="R140" s="151"/>
      <c r="S140" s="152"/>
      <c r="U140" s="142"/>
      <c r="V140" s="142"/>
      <c r="X140" s="149"/>
      <c r="Z140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2"/>
      <c r="AP140" s="151"/>
      <c r="AQ140" s="151"/>
      <c r="AR140" s="151"/>
      <c r="AS140" s="152"/>
    </row>
    <row r="141" spans="1:45" s="134" customFormat="1" ht="15" customHeight="1" x14ac:dyDescent="0.2">
      <c r="A141" s="698" t="s">
        <v>7</v>
      </c>
      <c r="B141" s="699"/>
      <c r="C141" s="700"/>
      <c r="D141" s="135"/>
      <c r="F141" s="140">
        <v>815257.16486029292</v>
      </c>
      <c r="G141" s="140">
        <v>752967.60486029286</v>
      </c>
      <c r="H141" s="140">
        <v>62289.56</v>
      </c>
      <c r="I141" s="140">
        <v>936021.9</v>
      </c>
      <c r="J141" s="140">
        <v>922354.83000000007</v>
      </c>
      <c r="K141" s="140">
        <v>13667.07</v>
      </c>
      <c r="L141" s="140">
        <v>2340727.2399999998</v>
      </c>
      <c r="M141" s="140">
        <v>219471.24000000002</v>
      </c>
      <c r="N141" s="140">
        <v>2121255.9999999995</v>
      </c>
      <c r="O141" s="140"/>
      <c r="P141" s="140">
        <v>4092006.3048602925</v>
      </c>
      <c r="Q141" s="140">
        <v>1894793.674860293</v>
      </c>
      <c r="R141" s="140">
        <v>2197212.63</v>
      </c>
      <c r="S141" s="141">
        <v>0.46304759418619329</v>
      </c>
      <c r="U141" s="142">
        <v>9.7237640320335572</v>
      </c>
      <c r="V141" s="142">
        <v>23.036479283212902</v>
      </c>
      <c r="X141" s="153">
        <v>1751279.0648602929</v>
      </c>
      <c r="Y141" s="143"/>
      <c r="Z141"/>
      <c r="AA141" s="144"/>
      <c r="AF141" s="140">
        <v>819163.05486029293</v>
      </c>
      <c r="AG141" s="140">
        <v>756862.60486029286</v>
      </c>
      <c r="AH141" s="140">
        <v>62297.15</v>
      </c>
      <c r="AI141" s="140">
        <v>968457.97000000009</v>
      </c>
      <c r="AJ141" s="140">
        <v>952308.83000000007</v>
      </c>
      <c r="AK141" s="140">
        <v>16139.9</v>
      </c>
      <c r="AL141" s="140">
        <v>2457603.3000000003</v>
      </c>
      <c r="AM141" s="140">
        <v>248027.24000000002</v>
      </c>
      <c r="AN141" s="140">
        <v>2209573.5599999991</v>
      </c>
      <c r="AO141" s="140"/>
      <c r="AP141" s="140">
        <v>4245224.3248602925</v>
      </c>
      <c r="AQ141" s="140">
        <v>1957198.674860293</v>
      </c>
      <c r="AR141" s="140">
        <v>2288010.61</v>
      </c>
      <c r="AS141" s="141">
        <v>0.46103539532618293</v>
      </c>
    </row>
    <row r="142" spans="1:45" s="134" customFormat="1" x14ac:dyDescent="0.2">
      <c r="B142" s="134" t="s">
        <v>401</v>
      </c>
      <c r="D142" s="135"/>
      <c r="F142" s="137"/>
      <c r="G142" s="145"/>
      <c r="H142" s="145"/>
      <c r="I142" s="145"/>
      <c r="J142" s="145"/>
      <c r="K142" s="145"/>
      <c r="L142" s="145"/>
      <c r="M142" s="145"/>
      <c r="N142" s="145"/>
      <c r="O142" s="145"/>
      <c r="P142" s="137"/>
      <c r="Q142" s="145"/>
      <c r="R142" s="137"/>
      <c r="S142" s="145"/>
      <c r="W142" s="144"/>
      <c r="Z142"/>
      <c r="AF142" s="137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37"/>
      <c r="AQ142" s="145"/>
      <c r="AR142" s="137"/>
      <c r="AS142" s="145"/>
    </row>
    <row r="143" spans="1:45" s="134" customFormat="1" ht="15" customHeight="1" x14ac:dyDescent="0.2">
      <c r="A143" s="694" t="s">
        <v>8</v>
      </c>
      <c r="B143" s="694"/>
      <c r="C143" s="694"/>
      <c r="D143" s="135"/>
      <c r="E143" s="146"/>
      <c r="F143" s="147">
        <v>379152.97573589813</v>
      </c>
      <c r="G143" s="147">
        <v>345877.31573589804</v>
      </c>
      <c r="H143" s="147">
        <v>33275.659999999996</v>
      </c>
      <c r="I143" s="147">
        <v>384519.08</v>
      </c>
      <c r="J143" s="147">
        <v>379390.94999999995</v>
      </c>
      <c r="K143" s="147">
        <v>5128.13</v>
      </c>
      <c r="L143" s="147">
        <v>1264373.3299999996</v>
      </c>
      <c r="M143" s="147">
        <v>190527.95</v>
      </c>
      <c r="N143" s="147">
        <v>1073845.3800000001</v>
      </c>
      <c r="O143" s="148"/>
      <c r="P143" s="147">
        <v>2028045.3857358978</v>
      </c>
      <c r="Q143" s="147">
        <v>915796.215735898</v>
      </c>
      <c r="R143" s="147">
        <v>1112249.17</v>
      </c>
      <c r="S143" s="148">
        <v>0.45156593741791023</v>
      </c>
      <c r="U143" s="142">
        <v>8.2783871860679596</v>
      </c>
      <c r="V143" s="142">
        <v>21.003363587883065</v>
      </c>
      <c r="W143" s="134" t="s">
        <v>8</v>
      </c>
      <c r="X143" s="149">
        <v>0.49561150072693705</v>
      </c>
      <c r="Z143"/>
      <c r="AF143" s="147">
        <v>379275.34573589812</v>
      </c>
      <c r="AG143" s="147">
        <v>345998.31573589804</v>
      </c>
      <c r="AH143" s="147">
        <v>33275.659999999996</v>
      </c>
      <c r="AI143" s="147">
        <v>398269.11</v>
      </c>
      <c r="AJ143" s="147">
        <v>392105.94999999995</v>
      </c>
      <c r="AK143" s="147">
        <v>6160.75</v>
      </c>
      <c r="AL143" s="147">
        <v>1277095.8800000001</v>
      </c>
      <c r="AM143" s="147">
        <v>192664.95</v>
      </c>
      <c r="AN143" s="147">
        <v>1084429.6400000001</v>
      </c>
      <c r="AO143" s="148"/>
      <c r="AP143" s="147">
        <v>2054640.335735898</v>
      </c>
      <c r="AQ143" s="147">
        <v>930769.215735898</v>
      </c>
      <c r="AR143" s="147">
        <v>1123866.05</v>
      </c>
      <c r="AS143" s="148">
        <v>0.45300834386789651</v>
      </c>
    </row>
    <row r="144" spans="1:45" s="134" customFormat="1" ht="15" customHeight="1" x14ac:dyDescent="0.2">
      <c r="A144" s="694" t="s">
        <v>9</v>
      </c>
      <c r="B144" s="694"/>
      <c r="C144" s="694"/>
      <c r="D144" s="135"/>
      <c r="E144" s="146"/>
      <c r="F144" s="147">
        <v>174147.13388130278</v>
      </c>
      <c r="G144" s="147">
        <v>164629.10388130278</v>
      </c>
      <c r="H144" s="147">
        <v>9518.0299999999988</v>
      </c>
      <c r="I144" s="147">
        <v>236333.80000000002</v>
      </c>
      <c r="J144" s="147">
        <v>235201.71999999997</v>
      </c>
      <c r="K144" s="147">
        <v>1132.08</v>
      </c>
      <c r="L144" s="147">
        <v>468773.32</v>
      </c>
      <c r="M144" s="147">
        <v>10189.42</v>
      </c>
      <c r="N144" s="147">
        <v>458583.89999999997</v>
      </c>
      <c r="O144" s="148"/>
      <c r="P144" s="147">
        <v>879254.25388130278</v>
      </c>
      <c r="Q144" s="147">
        <v>410020.24388130283</v>
      </c>
      <c r="R144" s="147">
        <v>469234.01</v>
      </c>
      <c r="S144" s="148">
        <v>0.46632727913609229</v>
      </c>
      <c r="U144" s="142">
        <v>11.241202420970641</v>
      </c>
      <c r="V144" s="142">
        <v>26.613135771080827</v>
      </c>
      <c r="W144" s="134" t="s">
        <v>9</v>
      </c>
      <c r="X144" s="149">
        <v>0.21487118747519179</v>
      </c>
      <c r="Y144" s="149"/>
      <c r="Z144"/>
      <c r="AF144" s="147">
        <v>174151.13388130278</v>
      </c>
      <c r="AG144" s="147">
        <v>164632.10388130278</v>
      </c>
      <c r="AH144" s="147">
        <v>9519.0299999999988</v>
      </c>
      <c r="AI144" s="147">
        <v>238880.71</v>
      </c>
      <c r="AJ144" s="147">
        <v>237747.71999999997</v>
      </c>
      <c r="AK144" s="147">
        <v>1132.3700000000001</v>
      </c>
      <c r="AL144" s="147">
        <v>489190.34</v>
      </c>
      <c r="AM144" s="147">
        <v>10189.42</v>
      </c>
      <c r="AN144" s="147">
        <v>479000.92</v>
      </c>
      <c r="AO144" s="148"/>
      <c r="AP144" s="147">
        <v>902222.18388130283</v>
      </c>
      <c r="AQ144" s="147">
        <v>412569.24388130283</v>
      </c>
      <c r="AR144" s="147">
        <v>489652.32</v>
      </c>
      <c r="AS144" s="148">
        <v>0.45728120107450254</v>
      </c>
    </row>
    <row r="145" spans="1:45" s="134" customFormat="1" ht="15" customHeight="1" x14ac:dyDescent="0.2">
      <c r="A145" s="694" t="s">
        <v>10</v>
      </c>
      <c r="B145" s="694"/>
      <c r="C145" s="694"/>
      <c r="D145" s="135"/>
      <c r="E145" s="146"/>
      <c r="F145" s="147">
        <v>108572.27648986081</v>
      </c>
      <c r="G145" s="147">
        <v>99088.836489860842</v>
      </c>
      <c r="H145" s="147">
        <v>9483.44</v>
      </c>
      <c r="I145" s="147">
        <v>141708.19000000003</v>
      </c>
      <c r="J145" s="147">
        <v>140192.89000000001</v>
      </c>
      <c r="K145" s="147">
        <v>1515.3</v>
      </c>
      <c r="L145" s="147">
        <v>221588.75999999998</v>
      </c>
      <c r="M145" s="147">
        <v>5876.2100000000009</v>
      </c>
      <c r="N145" s="147">
        <v>215712.55</v>
      </c>
      <c r="O145" s="148"/>
      <c r="P145" s="147">
        <v>471869.22648986091</v>
      </c>
      <c r="Q145" s="147">
        <v>245157.93648986082</v>
      </c>
      <c r="R145" s="147">
        <v>226711.29000000004</v>
      </c>
      <c r="S145" s="148">
        <v>0.51954635464054477</v>
      </c>
      <c r="U145" s="142">
        <v>10.874196457390855</v>
      </c>
      <c r="V145" s="142">
        <v>22.950699445677511</v>
      </c>
      <c r="W145" s="134" t="s">
        <v>10</v>
      </c>
      <c r="X145" s="149">
        <v>0.11531488256247231</v>
      </c>
      <c r="Y145" s="149"/>
      <c r="Z145"/>
      <c r="AF145" s="147">
        <v>112057.39648986081</v>
      </c>
      <c r="AG145" s="147">
        <v>102572.83648986083</v>
      </c>
      <c r="AH145" s="147">
        <v>9483.44</v>
      </c>
      <c r="AI145" s="147">
        <v>148009.20000000001</v>
      </c>
      <c r="AJ145" s="147">
        <v>146491.89000000001</v>
      </c>
      <c r="AK145" s="147">
        <v>1515.3</v>
      </c>
      <c r="AL145" s="147">
        <v>253571.26</v>
      </c>
      <c r="AM145" s="147">
        <v>5976.2100000000009</v>
      </c>
      <c r="AN145" s="147">
        <v>247594.63</v>
      </c>
      <c r="AO145" s="148"/>
      <c r="AP145" s="147">
        <v>513637.8564898608</v>
      </c>
      <c r="AQ145" s="147">
        <v>255040.93648986082</v>
      </c>
      <c r="AR145" s="147">
        <v>258593.37000000005</v>
      </c>
      <c r="AS145" s="148">
        <v>0.49653843319256069</v>
      </c>
    </row>
    <row r="146" spans="1:45" s="134" customFormat="1" ht="15" customHeight="1" x14ac:dyDescent="0.2">
      <c r="A146" s="694" t="s">
        <v>11</v>
      </c>
      <c r="B146" s="694"/>
      <c r="C146" s="694"/>
      <c r="D146" s="135"/>
      <c r="E146" s="146"/>
      <c r="F146" s="147">
        <v>153384.77875323064</v>
      </c>
      <c r="G146" s="147">
        <v>143372.34875323065</v>
      </c>
      <c r="H146" s="147">
        <v>10012.43</v>
      </c>
      <c r="I146" s="147">
        <v>173460.83</v>
      </c>
      <c r="J146" s="147">
        <v>167569.27000000002</v>
      </c>
      <c r="K146" s="147">
        <v>5891.5599999999995</v>
      </c>
      <c r="L146" s="147">
        <v>385991.8299999999</v>
      </c>
      <c r="M146" s="147">
        <v>12877.66</v>
      </c>
      <c r="N146" s="147">
        <v>373114.17</v>
      </c>
      <c r="O146" s="148"/>
      <c r="P146" s="147">
        <v>712837.43875323073</v>
      </c>
      <c r="Q146" s="147">
        <v>323819.27875323058</v>
      </c>
      <c r="R146" s="147">
        <v>389018.16000000009</v>
      </c>
      <c r="S146" s="148">
        <v>0.4542680576929265</v>
      </c>
      <c r="U146" s="142">
        <v>13.143731299621631</v>
      </c>
      <c r="V146" s="142">
        <v>25.94496661155825</v>
      </c>
      <c r="W146" s="134" t="s">
        <v>11</v>
      </c>
      <c r="X146" s="149">
        <v>0.17420242923539878</v>
      </c>
      <c r="Z146"/>
      <c r="AF146" s="147">
        <v>153679.17875323063</v>
      </c>
      <c r="AG146" s="147">
        <v>143659.34875323062</v>
      </c>
      <c r="AH146" s="147">
        <v>10019.019999999999</v>
      </c>
      <c r="AI146" s="147">
        <v>183298.94999999998</v>
      </c>
      <c r="AJ146" s="147">
        <v>175963.27</v>
      </c>
      <c r="AK146" s="147">
        <v>7331.48</v>
      </c>
      <c r="AL146" s="147">
        <v>437745.81999999995</v>
      </c>
      <c r="AM146" s="147">
        <v>39196.659999999996</v>
      </c>
      <c r="AN146" s="147">
        <v>398548.37000000005</v>
      </c>
      <c r="AO146" s="148"/>
      <c r="AP146" s="147">
        <v>774723.94875323051</v>
      </c>
      <c r="AQ146" s="147">
        <v>358819.27875323064</v>
      </c>
      <c r="AR146" s="147">
        <v>415898.87000000011</v>
      </c>
      <c r="AS146" s="148">
        <v>0.46315759223744329</v>
      </c>
    </row>
    <row r="147" spans="1:45" s="134" customFormat="1" ht="15" customHeight="1" x14ac:dyDescent="0.2">
      <c r="A147" s="95"/>
      <c r="B147" s="95"/>
      <c r="C147" s="95"/>
      <c r="D147" s="135"/>
      <c r="E147" s="146"/>
      <c r="F147" s="151"/>
      <c r="G147" s="151"/>
      <c r="H147" s="151"/>
      <c r="I147" s="151"/>
      <c r="J147" s="151"/>
      <c r="K147" s="151"/>
      <c r="L147" s="151"/>
      <c r="M147" s="151"/>
      <c r="N147" s="151"/>
      <c r="O147" s="152"/>
      <c r="P147" s="151"/>
      <c r="Q147" s="151"/>
      <c r="R147" s="151"/>
      <c r="S147" s="152"/>
      <c r="U147" s="142"/>
      <c r="V147" s="142"/>
      <c r="Z147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2"/>
      <c r="AP147" s="151"/>
      <c r="AQ147" s="151"/>
      <c r="AR147" s="151"/>
      <c r="AS147" s="152"/>
    </row>
    <row r="148" spans="1:45" s="134" customFormat="1" ht="15.75" customHeight="1" x14ac:dyDescent="0.2">
      <c r="A148" s="95"/>
      <c r="B148" s="95"/>
      <c r="C148" s="95"/>
      <c r="D148" s="135"/>
      <c r="E148" s="146"/>
      <c r="F148" s="151"/>
      <c r="G148" s="151"/>
      <c r="H148" s="151"/>
      <c r="I148" s="151"/>
      <c r="J148" s="151"/>
      <c r="K148" s="151"/>
      <c r="L148" s="151"/>
      <c r="M148" s="151"/>
      <c r="N148" s="151"/>
      <c r="O148" s="152"/>
      <c r="P148" s="151"/>
      <c r="Q148" s="151"/>
      <c r="R148" s="151"/>
      <c r="S148" s="152"/>
      <c r="U148" s="142"/>
      <c r="V148" s="142"/>
      <c r="X148" s="149"/>
      <c r="Z148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2"/>
      <c r="AP148" s="151"/>
      <c r="AQ148" s="151"/>
      <c r="AR148" s="151"/>
      <c r="AS148" s="152"/>
    </row>
    <row r="149" spans="1:45" s="134" customFormat="1" ht="15.75" customHeight="1" x14ac:dyDescent="0.2">
      <c r="A149" s="95"/>
      <c r="B149" s="95"/>
      <c r="C149" s="95"/>
      <c r="D149" s="135"/>
      <c r="E149" s="146"/>
      <c r="F149" s="151"/>
      <c r="G149" s="151"/>
      <c r="H149" s="151"/>
      <c r="I149" s="151"/>
      <c r="J149" s="151"/>
      <c r="K149" s="151"/>
      <c r="L149" s="151"/>
      <c r="M149" s="151"/>
      <c r="N149" s="151"/>
      <c r="O149" s="152"/>
      <c r="P149" s="151"/>
      <c r="Q149" s="151"/>
      <c r="R149" s="151"/>
      <c r="S149" s="152"/>
      <c r="U149" s="142"/>
      <c r="V149" s="142"/>
      <c r="X149" s="149"/>
      <c r="Z149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2"/>
      <c r="AP149" s="151"/>
      <c r="AQ149" s="151"/>
      <c r="AR149" s="151"/>
      <c r="AS149" s="152"/>
    </row>
    <row r="150" spans="1:45" s="134" customFormat="1" ht="15" customHeight="1" x14ac:dyDescent="0.2">
      <c r="A150" s="95"/>
      <c r="B150" s="95"/>
      <c r="C150" s="95"/>
      <c r="D150" s="135"/>
      <c r="E150" s="146"/>
      <c r="F150" s="151"/>
      <c r="G150" s="151"/>
      <c r="H150" s="151"/>
      <c r="I150" s="151"/>
      <c r="J150" s="151"/>
      <c r="K150" s="151"/>
      <c r="L150" s="151"/>
      <c r="M150" s="151"/>
      <c r="N150" s="151"/>
      <c r="O150" s="152"/>
      <c r="P150" s="622"/>
      <c r="Q150" s="151"/>
      <c r="R150" s="151"/>
      <c r="S150" s="152"/>
      <c r="U150" s="142"/>
      <c r="V150" s="142"/>
      <c r="X150" s="149"/>
      <c r="Z150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2"/>
      <c r="AP150" s="151"/>
      <c r="AQ150" s="151"/>
      <c r="AR150" s="151"/>
      <c r="AS150" s="152"/>
    </row>
    <row r="151" spans="1:45" s="134" customFormat="1" ht="15" customHeight="1" x14ac:dyDescent="0.2">
      <c r="A151" s="698" t="s">
        <v>7</v>
      </c>
      <c r="B151" s="699"/>
      <c r="C151" s="700"/>
      <c r="D151" s="135"/>
      <c r="F151" s="140">
        <v>827959.64061781368</v>
      </c>
      <c r="G151" s="140">
        <v>759223.33061781363</v>
      </c>
      <c r="H151" s="140">
        <v>68736.31</v>
      </c>
      <c r="I151" s="140">
        <v>863221.53000000014</v>
      </c>
      <c r="J151" s="140">
        <v>846827.0700000003</v>
      </c>
      <c r="K151" s="140">
        <v>16394.28</v>
      </c>
      <c r="L151" s="140">
        <v>2353185.69</v>
      </c>
      <c r="M151" s="140">
        <v>260054.72000000003</v>
      </c>
      <c r="N151" s="140">
        <v>2093130.9700000004</v>
      </c>
      <c r="O151" s="140"/>
      <c r="P151" s="140">
        <v>4044366.8606178123</v>
      </c>
      <c r="Q151" s="140">
        <v>1866105.1206178134</v>
      </c>
      <c r="R151" s="140">
        <v>2178261.56</v>
      </c>
      <c r="S151" s="141">
        <v>0.46140846884813747</v>
      </c>
      <c r="U151" s="142">
        <v>9.5237383941328329</v>
      </c>
      <c r="V151" s="142">
        <v>23.104177481444712</v>
      </c>
      <c r="X151" s="153">
        <v>1691181.1706178137</v>
      </c>
      <c r="Y151" s="143"/>
      <c r="Z151"/>
      <c r="AA151" s="144"/>
      <c r="AF151" s="140">
        <v>832531.51061781356</v>
      </c>
      <c r="AG151" s="140">
        <v>763790.33061781363</v>
      </c>
      <c r="AH151" s="140">
        <v>68739.539999999994</v>
      </c>
      <c r="AI151" s="140">
        <v>887143.61</v>
      </c>
      <c r="AJ151" s="140">
        <v>868154.0700000003</v>
      </c>
      <c r="AK151" s="140">
        <v>18977.819999999996</v>
      </c>
      <c r="AL151" s="140">
        <v>2463951.5700000012</v>
      </c>
      <c r="AM151" s="140">
        <v>267977.72000000003</v>
      </c>
      <c r="AN151" s="140">
        <v>2195970.2400000002</v>
      </c>
      <c r="AO151" s="140"/>
      <c r="AP151" s="140">
        <v>4183626.6906178123</v>
      </c>
      <c r="AQ151" s="140">
        <v>1899922.1206178134</v>
      </c>
      <c r="AR151" s="140">
        <v>2283687.600000001</v>
      </c>
      <c r="AS151" s="141">
        <v>0.45413280417169455</v>
      </c>
    </row>
    <row r="152" spans="1:45" s="134" customFormat="1" x14ac:dyDescent="0.2">
      <c r="B152" s="134" t="s">
        <v>174</v>
      </c>
      <c r="D152" s="135"/>
      <c r="F152" s="137"/>
      <c r="G152" s="145"/>
      <c r="H152" s="145"/>
      <c r="I152" s="145"/>
      <c r="J152" s="145"/>
      <c r="K152" s="145"/>
      <c r="L152" s="145"/>
      <c r="M152" s="145"/>
      <c r="N152" s="145"/>
      <c r="O152" s="145"/>
      <c r="P152" s="137"/>
      <c r="Q152" s="145"/>
      <c r="R152" s="137"/>
      <c r="S152" s="145"/>
      <c r="W152" s="144"/>
      <c r="Z152"/>
      <c r="AF152" s="137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37"/>
      <c r="AQ152" s="145"/>
      <c r="AR152" s="137"/>
      <c r="AS152" s="145"/>
    </row>
    <row r="153" spans="1:45" s="134" customFormat="1" ht="15" customHeight="1" x14ac:dyDescent="0.2">
      <c r="A153" s="694" t="s">
        <v>8</v>
      </c>
      <c r="B153" s="694"/>
      <c r="C153" s="694"/>
      <c r="D153" s="135"/>
      <c r="E153" s="146"/>
      <c r="F153" s="147">
        <v>381094.51831079641</v>
      </c>
      <c r="G153" s="147">
        <v>345743.72831079649</v>
      </c>
      <c r="H153" s="147">
        <v>35350.789999999994</v>
      </c>
      <c r="I153" s="147">
        <v>346993.47999999992</v>
      </c>
      <c r="J153" s="147">
        <v>343526.48999999993</v>
      </c>
      <c r="K153" s="147">
        <v>3466.99</v>
      </c>
      <c r="L153" s="147">
        <v>1230625.6500000001</v>
      </c>
      <c r="M153" s="147">
        <v>211940.67</v>
      </c>
      <c r="N153" s="147">
        <v>1018684.9800000001</v>
      </c>
      <c r="O153" s="148"/>
      <c r="P153" s="147">
        <v>1958713.6483107964</v>
      </c>
      <c r="Q153" s="147">
        <v>901210.88831079658</v>
      </c>
      <c r="R153" s="147">
        <v>1057502.76</v>
      </c>
      <c r="S153" s="148">
        <v>0.46010344038190831</v>
      </c>
      <c r="U153" s="142">
        <v>7.8142308999689041</v>
      </c>
      <c r="V153" s="142">
        <v>20.554056869613834</v>
      </c>
      <c r="W153" s="134" t="s">
        <v>8</v>
      </c>
      <c r="X153" s="149">
        <v>0.48430662099025945</v>
      </c>
      <c r="Z153"/>
      <c r="AF153" s="147">
        <v>381094.86831079639</v>
      </c>
      <c r="AG153" s="147">
        <v>345743.72831079649</v>
      </c>
      <c r="AH153" s="147">
        <v>35350.789999999994</v>
      </c>
      <c r="AI153" s="147">
        <v>359275.55</v>
      </c>
      <c r="AJ153" s="147">
        <v>355120.48999999993</v>
      </c>
      <c r="AK153" s="147">
        <v>4150.96</v>
      </c>
      <c r="AL153" s="147">
        <v>1247921.4999999998</v>
      </c>
      <c r="AM153" s="147">
        <v>214057.67</v>
      </c>
      <c r="AN153" s="147">
        <v>1033862.52</v>
      </c>
      <c r="AO153" s="148"/>
      <c r="AP153" s="147">
        <v>1988291.9183107961</v>
      </c>
      <c r="AQ153" s="147">
        <v>914921.88831079646</v>
      </c>
      <c r="AR153" s="147">
        <v>1073364.27</v>
      </c>
      <c r="AS153" s="148">
        <v>0.46015470861446323</v>
      </c>
    </row>
    <row r="154" spans="1:45" s="134" customFormat="1" ht="15" customHeight="1" x14ac:dyDescent="0.2">
      <c r="A154" s="694" t="s">
        <v>9</v>
      </c>
      <c r="B154" s="694"/>
      <c r="C154" s="694"/>
      <c r="D154" s="135"/>
      <c r="E154" s="146"/>
      <c r="F154" s="147">
        <v>175770.75414779875</v>
      </c>
      <c r="G154" s="147">
        <v>161926.55414779874</v>
      </c>
      <c r="H154" s="147">
        <v>13844.2</v>
      </c>
      <c r="I154" s="147">
        <v>215516.38</v>
      </c>
      <c r="J154" s="147">
        <v>213910.14</v>
      </c>
      <c r="K154" s="147">
        <v>1606.24</v>
      </c>
      <c r="L154" s="147">
        <v>472595.35</v>
      </c>
      <c r="M154" s="147">
        <v>25533.7</v>
      </c>
      <c r="N154" s="147">
        <v>447061.65</v>
      </c>
      <c r="O154" s="148"/>
      <c r="P154" s="147">
        <v>863882.4841477985</v>
      </c>
      <c r="Q154" s="147">
        <v>401370.39414779877</v>
      </c>
      <c r="R154" s="147">
        <v>462512.09</v>
      </c>
      <c r="S154" s="148">
        <v>0.46461226094165115</v>
      </c>
      <c r="U154" s="142">
        <v>11.157918109938198</v>
      </c>
      <c r="V154" s="142">
        <v>26.316362174216035</v>
      </c>
      <c r="W154" s="134" t="s">
        <v>9</v>
      </c>
      <c r="X154" s="149">
        <v>0.21360141498534407</v>
      </c>
      <c r="Y154" s="149"/>
      <c r="Z154"/>
      <c r="AF154" s="147">
        <v>175871.74414779874</v>
      </c>
      <c r="AG154" s="147">
        <v>162024.55414779874</v>
      </c>
      <c r="AH154" s="147">
        <v>13846.93</v>
      </c>
      <c r="AI154" s="147">
        <v>217677.72</v>
      </c>
      <c r="AJ154" s="147">
        <v>216064.14</v>
      </c>
      <c r="AK154" s="147">
        <v>1611.51</v>
      </c>
      <c r="AL154" s="147">
        <v>503518.45</v>
      </c>
      <c r="AM154" s="147">
        <v>26083.7</v>
      </c>
      <c r="AN154" s="147">
        <v>477434.31</v>
      </c>
      <c r="AO154" s="148"/>
      <c r="AP154" s="147">
        <v>897067.91414779867</v>
      </c>
      <c r="AQ154" s="147">
        <v>404172.39414779877</v>
      </c>
      <c r="AR154" s="147">
        <v>492892.75</v>
      </c>
      <c r="AS154" s="148">
        <v>0.45054826705261952</v>
      </c>
    </row>
    <row r="155" spans="1:45" s="134" customFormat="1" ht="15" customHeight="1" x14ac:dyDescent="0.2">
      <c r="A155" s="694" t="s">
        <v>10</v>
      </c>
      <c r="B155" s="694"/>
      <c r="C155" s="694"/>
      <c r="D155" s="135"/>
      <c r="E155" s="146"/>
      <c r="F155" s="147">
        <v>116156.70606409617</v>
      </c>
      <c r="G155" s="147">
        <v>108166.56606409616</v>
      </c>
      <c r="H155" s="147">
        <v>7990.1400000000012</v>
      </c>
      <c r="I155" s="147">
        <v>134995.94</v>
      </c>
      <c r="J155" s="147">
        <v>133782.65</v>
      </c>
      <c r="K155" s="147">
        <v>1213.29</v>
      </c>
      <c r="L155" s="147">
        <v>259683.32</v>
      </c>
      <c r="M155" s="147">
        <v>15395.72</v>
      </c>
      <c r="N155" s="147">
        <v>244287.6</v>
      </c>
      <c r="O155" s="148"/>
      <c r="P155" s="147">
        <v>510835.9660640962</v>
      </c>
      <c r="Q155" s="147">
        <v>257344.9360640962</v>
      </c>
      <c r="R155" s="147">
        <v>253491.03</v>
      </c>
      <c r="S155" s="148">
        <v>0.50377215615199322</v>
      </c>
      <c r="U155" s="142">
        <v>11.911482141638542</v>
      </c>
      <c r="V155" s="142">
        <v>25.902737407333557</v>
      </c>
      <c r="W155" s="134" t="s">
        <v>10</v>
      </c>
      <c r="X155" s="149">
        <v>0.12630801894812815</v>
      </c>
      <c r="Y155" s="149"/>
      <c r="Z155"/>
      <c r="AF155" s="147">
        <v>116177.70606409617</v>
      </c>
      <c r="AG155" s="147">
        <v>108187.56606409616</v>
      </c>
      <c r="AH155" s="147">
        <v>7990.1400000000012</v>
      </c>
      <c r="AI155" s="147">
        <v>136506.44999999998</v>
      </c>
      <c r="AJ155" s="147">
        <v>135290.65</v>
      </c>
      <c r="AK155" s="147">
        <v>1213.29</v>
      </c>
      <c r="AL155" s="147">
        <v>270534.69</v>
      </c>
      <c r="AM155" s="147">
        <v>17580.72</v>
      </c>
      <c r="AN155" s="147">
        <v>252953.97000000003</v>
      </c>
      <c r="AO155" s="148"/>
      <c r="AP155" s="147">
        <v>523218.84606409614</v>
      </c>
      <c r="AQ155" s="147">
        <v>261058.93606409614</v>
      </c>
      <c r="AR155" s="147">
        <v>262157.40000000002</v>
      </c>
      <c r="AS155" s="148">
        <v>0.49894788390729239</v>
      </c>
    </row>
    <row r="156" spans="1:45" s="134" customFormat="1" ht="15" customHeight="1" x14ac:dyDescent="0.2">
      <c r="A156" s="694" t="s">
        <v>11</v>
      </c>
      <c r="B156" s="694"/>
      <c r="C156" s="694"/>
      <c r="D156" s="135"/>
      <c r="E156" s="146"/>
      <c r="F156" s="147">
        <v>154937.66209512227</v>
      </c>
      <c r="G156" s="147">
        <v>143386.48209512228</v>
      </c>
      <c r="H156" s="147">
        <v>11551.18</v>
      </c>
      <c r="I156" s="147">
        <v>165715.73000000001</v>
      </c>
      <c r="J156" s="147">
        <v>155607.78999999998</v>
      </c>
      <c r="K156" s="147">
        <v>10107.759999999998</v>
      </c>
      <c r="L156" s="147">
        <v>390281.37000000005</v>
      </c>
      <c r="M156" s="147">
        <v>7184.6300000000019</v>
      </c>
      <c r="N156" s="147">
        <v>383096.74000000005</v>
      </c>
      <c r="O156" s="148"/>
      <c r="P156" s="147">
        <v>710934.76209512237</v>
      </c>
      <c r="Q156" s="147">
        <v>306178.9020951222</v>
      </c>
      <c r="R156" s="147">
        <v>404755.67999999993</v>
      </c>
      <c r="S156" s="148">
        <v>0.43067088348980714</v>
      </c>
      <c r="U156" s="142">
        <v>13.240833226461792</v>
      </c>
      <c r="V156" s="142">
        <v>26.132207806473733</v>
      </c>
      <c r="W156" s="134" t="s">
        <v>11</v>
      </c>
      <c r="X156" s="149">
        <v>0.1757839450762686</v>
      </c>
      <c r="Z156"/>
      <c r="AF156" s="147">
        <v>159387.19209512227</v>
      </c>
      <c r="AG156" s="147">
        <v>147834.48209512228</v>
      </c>
      <c r="AH156" s="147">
        <v>11551.68</v>
      </c>
      <c r="AI156" s="147">
        <v>173683.89000000004</v>
      </c>
      <c r="AJ156" s="147">
        <v>161678.78999999998</v>
      </c>
      <c r="AK156" s="147">
        <v>12002.06</v>
      </c>
      <c r="AL156" s="147">
        <v>441976.93000000011</v>
      </c>
      <c r="AM156" s="147">
        <v>10255.630000000001</v>
      </c>
      <c r="AN156" s="147">
        <v>431719.44000000006</v>
      </c>
      <c r="AO156" s="148"/>
      <c r="AP156" s="147">
        <v>775048.01209512237</v>
      </c>
      <c r="AQ156" s="147">
        <v>319768.90209512226</v>
      </c>
      <c r="AR156" s="147">
        <v>455273.18000000005</v>
      </c>
      <c r="AS156" s="148">
        <v>0.41257947521304877</v>
      </c>
    </row>
    <row r="157" spans="1:45" s="134" customFormat="1" ht="15" customHeight="1" x14ac:dyDescent="0.2">
      <c r="A157" s="95"/>
      <c r="B157" s="95"/>
      <c r="C157" s="95"/>
      <c r="D157" s="135"/>
      <c r="E157" s="146"/>
      <c r="F157" s="151"/>
      <c r="G157" s="151"/>
      <c r="H157" s="151"/>
      <c r="I157" s="151"/>
      <c r="J157" s="151"/>
      <c r="K157" s="151"/>
      <c r="L157" s="151"/>
      <c r="M157" s="151"/>
      <c r="N157" s="151"/>
      <c r="O157" s="152"/>
      <c r="P157" s="151"/>
      <c r="Q157" s="151"/>
      <c r="R157" s="151"/>
      <c r="S157" s="152"/>
      <c r="U157" s="142"/>
      <c r="V157" s="142"/>
      <c r="Z157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2"/>
      <c r="AP157" s="151"/>
      <c r="AQ157" s="151"/>
      <c r="AR157" s="151"/>
      <c r="AS157" s="152"/>
    </row>
    <row r="158" spans="1:45" s="134" customFormat="1" ht="15.75" customHeight="1" x14ac:dyDescent="0.2">
      <c r="A158" s="95"/>
      <c r="B158" s="95"/>
      <c r="C158" s="95"/>
      <c r="D158" s="135"/>
      <c r="E158" s="146"/>
      <c r="F158" s="151"/>
      <c r="G158" s="151"/>
      <c r="H158" s="151"/>
      <c r="I158" s="151"/>
      <c r="J158" s="151"/>
      <c r="K158" s="151"/>
      <c r="L158" s="151"/>
      <c r="M158" s="151"/>
      <c r="N158" s="151"/>
      <c r="O158" s="152"/>
      <c r="P158" s="151"/>
      <c r="Q158" s="151"/>
      <c r="R158" s="151"/>
      <c r="S158" s="152"/>
      <c r="U158" s="142"/>
      <c r="V158" s="142"/>
      <c r="X158" s="149"/>
      <c r="Z158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2"/>
      <c r="AP158" s="151"/>
      <c r="AQ158" s="151"/>
      <c r="AR158" s="151"/>
      <c r="AS158" s="152"/>
    </row>
    <row r="159" spans="1:45" s="134" customFormat="1" ht="15.75" customHeight="1" x14ac:dyDescent="0.2">
      <c r="A159" s="95"/>
      <c r="B159" s="95"/>
      <c r="C159" s="95"/>
      <c r="D159" s="135"/>
      <c r="E159" s="146"/>
      <c r="F159" s="151"/>
      <c r="G159" s="151"/>
      <c r="H159" s="151"/>
      <c r="I159" s="151"/>
      <c r="J159" s="151"/>
      <c r="K159" s="151"/>
      <c r="L159" s="151"/>
      <c r="M159" s="151"/>
      <c r="N159" s="151"/>
      <c r="O159" s="152"/>
      <c r="P159" s="151"/>
      <c r="Q159" s="151"/>
      <c r="R159" s="151"/>
      <c r="S159" s="152"/>
      <c r="U159" s="142"/>
      <c r="V159" s="142"/>
      <c r="X159" s="149"/>
      <c r="Z159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2"/>
      <c r="AP159" s="151"/>
      <c r="AQ159" s="151"/>
      <c r="AR159" s="151"/>
      <c r="AS159" s="152"/>
    </row>
    <row r="160" spans="1:45" s="134" customFormat="1" ht="15.75" customHeight="1" x14ac:dyDescent="0.2">
      <c r="A160" s="95"/>
      <c r="B160" s="95"/>
      <c r="C160" s="95"/>
      <c r="D160" s="135"/>
      <c r="E160" s="146"/>
      <c r="F160" s="151"/>
      <c r="G160" s="151"/>
      <c r="H160" s="151"/>
      <c r="I160" s="151"/>
      <c r="J160" s="151"/>
      <c r="K160" s="151"/>
      <c r="L160" s="151"/>
      <c r="M160" s="151"/>
      <c r="N160" s="151"/>
      <c r="O160" s="152"/>
      <c r="P160" s="151"/>
      <c r="Q160" s="151"/>
      <c r="R160" s="151"/>
      <c r="S160" s="152"/>
      <c r="U160" s="142"/>
      <c r="V160" s="142"/>
      <c r="X160" s="149"/>
      <c r="Z160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2"/>
      <c r="AP160" s="151"/>
      <c r="AQ160" s="151"/>
      <c r="AR160" s="151"/>
      <c r="AS160" s="152"/>
    </row>
    <row r="161" spans="1:46" s="134" customFormat="1" ht="15" customHeight="1" x14ac:dyDescent="0.2">
      <c r="A161" s="698" t="s">
        <v>7</v>
      </c>
      <c r="B161" s="699"/>
      <c r="C161" s="700"/>
      <c r="D161" s="135"/>
      <c r="F161" s="140">
        <v>796460.84022253216</v>
      </c>
      <c r="G161" s="140">
        <v>738669.15022253233</v>
      </c>
      <c r="H161" s="140">
        <v>57791.69000000001</v>
      </c>
      <c r="I161" s="140">
        <v>765184.12000000011</v>
      </c>
      <c r="J161" s="140">
        <v>746490.01999999979</v>
      </c>
      <c r="K161" s="140">
        <v>17387.29</v>
      </c>
      <c r="L161" s="140">
        <v>2240830.3700000006</v>
      </c>
      <c r="M161" s="140">
        <v>176651.49000000008</v>
      </c>
      <c r="N161" s="140">
        <v>2062741.3399999996</v>
      </c>
      <c r="O161" s="140"/>
      <c r="P161" s="140">
        <v>3802475.3302225336</v>
      </c>
      <c r="Q161" s="140">
        <v>1661810.6602225318</v>
      </c>
      <c r="R161" s="140">
        <v>2137920.3200000003</v>
      </c>
      <c r="S161" s="141">
        <v>0.43703390973092177</v>
      </c>
      <c r="U161" s="142">
        <v>9.0402293224293437</v>
      </c>
      <c r="V161" s="142">
        <v>21.880311326669876</v>
      </c>
      <c r="Z161"/>
      <c r="AF161" s="140">
        <v>796460.84022253216</v>
      </c>
      <c r="AG161" s="140">
        <v>738669.15022253233</v>
      </c>
      <c r="AH161" s="140">
        <v>57791.69000000001</v>
      </c>
      <c r="AI161" s="140">
        <v>765184.12000000011</v>
      </c>
      <c r="AJ161" s="140">
        <v>746490.01999999979</v>
      </c>
      <c r="AK161" s="140">
        <v>17387.29</v>
      </c>
      <c r="AL161" s="140">
        <v>2240830.3700000006</v>
      </c>
      <c r="AM161" s="140">
        <v>176651.49000000008</v>
      </c>
      <c r="AN161" s="140">
        <v>2062741.3399999996</v>
      </c>
      <c r="AO161" s="140"/>
      <c r="AP161" s="140">
        <v>3802475.3302225336</v>
      </c>
      <c r="AQ161" s="140">
        <v>1661810.6602225318</v>
      </c>
      <c r="AR161" s="140">
        <v>2137920.3200000003</v>
      </c>
      <c r="AS161" s="141">
        <v>0.43703390973092177</v>
      </c>
    </row>
    <row r="162" spans="1:46" s="134" customFormat="1" x14ac:dyDescent="0.2">
      <c r="B162" s="134" t="s">
        <v>224</v>
      </c>
      <c r="D162" s="135"/>
      <c r="F162" s="137"/>
      <c r="G162" s="145"/>
      <c r="H162" s="145"/>
      <c r="I162" s="145"/>
      <c r="J162" s="145"/>
      <c r="K162" s="145"/>
      <c r="L162" s="145"/>
      <c r="M162" s="145"/>
      <c r="N162" s="145"/>
      <c r="O162" s="145"/>
      <c r="P162" s="137"/>
      <c r="Q162" s="145"/>
      <c r="R162" s="137"/>
      <c r="S162" s="145"/>
      <c r="W162" s="144"/>
      <c r="Z162"/>
      <c r="AF162" s="137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37"/>
      <c r="AQ162" s="145"/>
      <c r="AR162" s="137"/>
      <c r="AS162" s="145"/>
    </row>
    <row r="163" spans="1:46" s="134" customFormat="1" ht="15" customHeight="1" x14ac:dyDescent="0.2">
      <c r="A163" s="694" t="s">
        <v>8</v>
      </c>
      <c r="B163" s="694"/>
      <c r="C163" s="694"/>
      <c r="D163" s="135"/>
      <c r="E163" s="146"/>
      <c r="F163" s="147">
        <v>378832.27394672483</v>
      </c>
      <c r="G163" s="147">
        <v>345635.93394672481</v>
      </c>
      <c r="H163" s="147">
        <v>33196.339999999997</v>
      </c>
      <c r="I163" s="147">
        <v>321653.65000000002</v>
      </c>
      <c r="J163" s="147">
        <v>317678.55999999994</v>
      </c>
      <c r="K163" s="147">
        <v>3975.0899999999997</v>
      </c>
      <c r="L163" s="147">
        <v>1224981.0799999998</v>
      </c>
      <c r="M163" s="147">
        <v>128944.52</v>
      </c>
      <c r="N163" s="147">
        <v>1096036.56</v>
      </c>
      <c r="O163" s="148"/>
      <c r="P163" s="147">
        <v>1925467.0039467246</v>
      </c>
      <c r="Q163" s="147">
        <v>792259.01394672506</v>
      </c>
      <c r="R163" s="147">
        <v>1133207.99</v>
      </c>
      <c r="S163" s="148">
        <v>0.41146330335590936</v>
      </c>
      <c r="U163" s="142">
        <v>7.7650475486618307</v>
      </c>
      <c r="V163" s="142">
        <v>20.422721451820674</v>
      </c>
      <c r="W163" s="134" t="s">
        <v>8</v>
      </c>
      <c r="X163" s="149">
        <v>0.50637199106668229</v>
      </c>
      <c r="Z163"/>
      <c r="AF163" s="147">
        <v>378832.27394672483</v>
      </c>
      <c r="AG163" s="147">
        <v>345635.93394672481</v>
      </c>
      <c r="AH163" s="147">
        <v>33196.339999999997</v>
      </c>
      <c r="AI163" s="147">
        <v>321653.65000000002</v>
      </c>
      <c r="AJ163" s="147">
        <v>317678.55999999994</v>
      </c>
      <c r="AK163" s="147">
        <v>3975.0899999999997</v>
      </c>
      <c r="AL163" s="147">
        <v>1224981.0799999998</v>
      </c>
      <c r="AM163" s="147">
        <v>128944.52</v>
      </c>
      <c r="AN163" s="147">
        <v>1096036.56</v>
      </c>
      <c r="AO163" s="148"/>
      <c r="AP163" s="147">
        <v>1925467.0039467246</v>
      </c>
      <c r="AQ163" s="147">
        <v>792259.01394672506</v>
      </c>
      <c r="AR163" s="147">
        <v>1133207.99</v>
      </c>
      <c r="AS163" s="148">
        <v>0.41146330335590936</v>
      </c>
    </row>
    <row r="164" spans="1:46" s="134" customFormat="1" ht="15" customHeight="1" x14ac:dyDescent="0.2">
      <c r="A164" s="694" t="s">
        <v>9</v>
      </c>
      <c r="B164" s="694"/>
      <c r="C164" s="694"/>
      <c r="D164" s="135"/>
      <c r="E164" s="146"/>
      <c r="F164" s="147">
        <v>172154.91406446381</v>
      </c>
      <c r="G164" s="147">
        <v>161874.73406446379</v>
      </c>
      <c r="H164" s="147">
        <v>10280.18</v>
      </c>
      <c r="I164" s="147">
        <v>182221.30000000002</v>
      </c>
      <c r="J164" s="147">
        <v>180918.51</v>
      </c>
      <c r="K164" s="147">
        <v>1302.79</v>
      </c>
      <c r="L164" s="147">
        <v>442932.85000000003</v>
      </c>
      <c r="M164" s="147">
        <v>15371.759999999998</v>
      </c>
      <c r="N164" s="147">
        <v>426123.09</v>
      </c>
      <c r="O164" s="148"/>
      <c r="P164" s="147">
        <v>797309.06406446372</v>
      </c>
      <c r="Q164" s="147">
        <v>358165.00406446378</v>
      </c>
      <c r="R164" s="147">
        <v>437706.06</v>
      </c>
      <c r="S164" s="148">
        <v>0.44921727371144693</v>
      </c>
      <c r="U164" s="142">
        <v>10.410104955128345</v>
      </c>
      <c r="V164" s="142">
        <v>24.519326534808858</v>
      </c>
      <c r="W164" s="134" t="s">
        <v>9</v>
      </c>
      <c r="X164" s="149">
        <v>0.20968158760356836</v>
      </c>
      <c r="Y164" s="149"/>
      <c r="Z164"/>
      <c r="AF164" s="147">
        <v>172154.91406446381</v>
      </c>
      <c r="AG164" s="147">
        <v>161874.73406446379</v>
      </c>
      <c r="AH164" s="147">
        <v>10280.18</v>
      </c>
      <c r="AI164" s="147">
        <v>182221.30000000002</v>
      </c>
      <c r="AJ164" s="147">
        <v>180918.51</v>
      </c>
      <c r="AK164" s="147">
        <v>1302.79</v>
      </c>
      <c r="AL164" s="147">
        <v>442932.85000000003</v>
      </c>
      <c r="AM164" s="147">
        <v>15371.759999999998</v>
      </c>
      <c r="AN164" s="147">
        <v>426123.09</v>
      </c>
      <c r="AO164" s="148"/>
      <c r="AP164" s="147">
        <v>797309.06406446372</v>
      </c>
      <c r="AQ164" s="147">
        <v>358165.00406446378</v>
      </c>
      <c r="AR164" s="147">
        <v>437706.06</v>
      </c>
      <c r="AS164" s="148">
        <v>0.44921727371144693</v>
      </c>
    </row>
    <row r="165" spans="1:46" s="134" customFormat="1" ht="15" customHeight="1" x14ac:dyDescent="0.2">
      <c r="A165" s="694" t="s">
        <v>10</v>
      </c>
      <c r="B165" s="694"/>
      <c r="C165" s="694"/>
      <c r="D165" s="135"/>
      <c r="E165" s="146"/>
      <c r="F165" s="147">
        <v>116037.17380045686</v>
      </c>
      <c r="G165" s="147">
        <v>108811.48380045687</v>
      </c>
      <c r="H165" s="147">
        <v>7225.69</v>
      </c>
      <c r="I165" s="147">
        <v>133321.39000000001</v>
      </c>
      <c r="J165" s="147">
        <v>126482.05</v>
      </c>
      <c r="K165" s="147">
        <v>5532.53</v>
      </c>
      <c r="L165" s="147">
        <v>237689.18</v>
      </c>
      <c r="M165" s="147">
        <v>16901.66</v>
      </c>
      <c r="N165" s="147">
        <v>220787.51999999996</v>
      </c>
      <c r="O165" s="148"/>
      <c r="P165" s="147">
        <v>487047.74380045675</v>
      </c>
      <c r="Q165" s="147">
        <v>252195.19380045688</v>
      </c>
      <c r="R165" s="147">
        <v>233545.73999999993</v>
      </c>
      <c r="S165" s="148">
        <v>0.51780384369007804</v>
      </c>
      <c r="U165" s="142">
        <v>11.447211149845824</v>
      </c>
      <c r="V165" s="142">
        <v>24.465702537897361</v>
      </c>
      <c r="W165" s="134" t="s">
        <v>10</v>
      </c>
      <c r="X165" s="149">
        <v>0.12808702266372182</v>
      </c>
      <c r="Y165" s="149"/>
      <c r="Z165"/>
      <c r="AF165" s="147">
        <v>116037.17380045686</v>
      </c>
      <c r="AG165" s="147">
        <v>108811.48380045687</v>
      </c>
      <c r="AH165" s="147">
        <v>7225.69</v>
      </c>
      <c r="AI165" s="147">
        <v>133321.39000000001</v>
      </c>
      <c r="AJ165" s="147">
        <v>126482.05</v>
      </c>
      <c r="AK165" s="147">
        <v>5532.53</v>
      </c>
      <c r="AL165" s="147">
        <v>237689.18</v>
      </c>
      <c r="AM165" s="147">
        <v>16901.66</v>
      </c>
      <c r="AN165" s="147">
        <v>220787.51999999996</v>
      </c>
      <c r="AO165" s="148"/>
      <c r="AP165" s="147">
        <v>487047.74380045675</v>
      </c>
      <c r="AQ165" s="147">
        <v>252195.19380045688</v>
      </c>
      <c r="AR165" s="147">
        <v>233545.73999999993</v>
      </c>
      <c r="AS165" s="148">
        <v>0.51780384369007804</v>
      </c>
    </row>
    <row r="166" spans="1:46" s="134" customFormat="1" ht="15" customHeight="1" x14ac:dyDescent="0.2">
      <c r="A166" s="694" t="s">
        <v>11</v>
      </c>
      <c r="B166" s="694"/>
      <c r="C166" s="694"/>
      <c r="D166" s="135"/>
      <c r="E166" s="146"/>
      <c r="F166" s="147">
        <v>129436.47841088666</v>
      </c>
      <c r="G166" s="147">
        <v>122346.99841088668</v>
      </c>
      <c r="H166" s="147">
        <v>7089.4800000000014</v>
      </c>
      <c r="I166" s="147">
        <v>127987.78000000003</v>
      </c>
      <c r="J166" s="147">
        <v>121410.90000000001</v>
      </c>
      <c r="K166" s="147">
        <v>6576.88</v>
      </c>
      <c r="L166" s="147">
        <v>335227.25999999983</v>
      </c>
      <c r="M166" s="147">
        <v>15433.55</v>
      </c>
      <c r="N166" s="147">
        <v>319794.16999999993</v>
      </c>
      <c r="O166" s="148"/>
      <c r="P166" s="147">
        <v>592651.51841088641</v>
      </c>
      <c r="Q166" s="147">
        <v>259191.44841088669</v>
      </c>
      <c r="R166" s="147">
        <v>333460.53000000009</v>
      </c>
      <c r="S166" s="148">
        <v>0.43734208106961903</v>
      </c>
      <c r="U166" s="142">
        <v>11.074693800139867</v>
      </c>
      <c r="V166" s="142">
        <v>21.885473017139734</v>
      </c>
      <c r="W166" s="134" t="s">
        <v>11</v>
      </c>
      <c r="X166" s="149">
        <v>0.15585939866602697</v>
      </c>
      <c r="Z166"/>
      <c r="AF166" s="147">
        <v>129436.47841088666</v>
      </c>
      <c r="AG166" s="147">
        <v>122346.99841088668</v>
      </c>
      <c r="AH166" s="147">
        <v>7089.4800000000014</v>
      </c>
      <c r="AI166" s="147">
        <v>127987.78000000003</v>
      </c>
      <c r="AJ166" s="147">
        <v>121410.90000000001</v>
      </c>
      <c r="AK166" s="147">
        <v>6576.88</v>
      </c>
      <c r="AL166" s="147">
        <v>335227.25999999983</v>
      </c>
      <c r="AM166" s="147">
        <v>15433.55</v>
      </c>
      <c r="AN166" s="147">
        <v>319794.16999999993</v>
      </c>
      <c r="AO166" s="148"/>
      <c r="AP166" s="147">
        <v>592651.51841088641</v>
      </c>
      <c r="AQ166" s="147">
        <v>259191.44841088669</v>
      </c>
      <c r="AR166" s="147">
        <v>333460.53000000009</v>
      </c>
      <c r="AS166" s="148">
        <v>0.43734208106961903</v>
      </c>
    </row>
    <row r="167" spans="1:46" s="134" customFormat="1" ht="15" customHeight="1" x14ac:dyDescent="0.2">
      <c r="A167" s="95"/>
      <c r="B167" s="95"/>
      <c r="C167" s="95"/>
      <c r="D167" s="135"/>
      <c r="E167" s="146"/>
      <c r="F167" s="151"/>
      <c r="G167" s="151"/>
      <c r="H167" s="151"/>
      <c r="I167" s="151"/>
      <c r="J167" s="151"/>
      <c r="K167" s="151"/>
      <c r="L167" s="151"/>
      <c r="M167" s="151"/>
      <c r="N167" s="151"/>
      <c r="O167" s="152"/>
      <c r="P167" s="151"/>
      <c r="Q167" s="151"/>
      <c r="R167" s="151"/>
      <c r="S167" s="152"/>
      <c r="U167" s="142"/>
      <c r="V167" s="142"/>
      <c r="Z167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2"/>
      <c r="AP167" s="151"/>
      <c r="AQ167" s="151"/>
      <c r="AR167" s="151"/>
      <c r="AS167" s="152"/>
    </row>
    <row r="168" spans="1:46" s="134" customFormat="1" ht="15" customHeight="1" x14ac:dyDescent="0.2">
      <c r="A168" s="698" t="s">
        <v>7</v>
      </c>
      <c r="B168" s="699"/>
      <c r="C168" s="700"/>
      <c r="D168" s="135"/>
      <c r="F168" s="140">
        <v>797119.60784433736</v>
      </c>
      <c r="G168" s="140">
        <v>732011.80784433754</v>
      </c>
      <c r="H168" s="140">
        <v>65107.800000000017</v>
      </c>
      <c r="I168" s="140">
        <v>778877.74999999988</v>
      </c>
      <c r="J168" s="140">
        <v>759561.57000000007</v>
      </c>
      <c r="K168" s="140">
        <v>19310.920000000002</v>
      </c>
      <c r="L168" s="140">
        <v>2080441.0799999998</v>
      </c>
      <c r="M168" s="140">
        <v>227807.71</v>
      </c>
      <c r="N168" s="140">
        <v>1852633.3700000003</v>
      </c>
      <c r="O168" s="140"/>
      <c r="P168" s="140">
        <v>3656438.4378443374</v>
      </c>
      <c r="Q168" s="140">
        <v>1719381.0878443383</v>
      </c>
      <c r="R168" s="140">
        <v>1937052.090000001</v>
      </c>
      <c r="S168" s="141">
        <v>0.47023384013488378</v>
      </c>
      <c r="U168" s="142">
        <v>8.8036442241115207</v>
      </c>
      <c r="V168" s="142">
        <v>21.752464163747298</v>
      </c>
      <c r="Z168"/>
      <c r="AF168" s="140">
        <v>797119.60784433736</v>
      </c>
      <c r="AG168" s="140">
        <v>732011.80784433754</v>
      </c>
      <c r="AH168" s="140">
        <v>65107.800000000017</v>
      </c>
      <c r="AI168" s="140">
        <v>778877.74999999988</v>
      </c>
      <c r="AJ168" s="140">
        <v>759561.57000000007</v>
      </c>
      <c r="AK168" s="140">
        <v>19310.920000000002</v>
      </c>
      <c r="AL168" s="140">
        <v>2080441.0799999998</v>
      </c>
      <c r="AM168" s="140">
        <v>227807.71</v>
      </c>
      <c r="AN168" s="140">
        <v>1852633.3700000003</v>
      </c>
      <c r="AO168" s="140"/>
      <c r="AP168" s="140">
        <v>3656438.4378443374</v>
      </c>
      <c r="AQ168" s="140">
        <v>1719381.0878443383</v>
      </c>
      <c r="AR168" s="140">
        <v>1937052.090000001</v>
      </c>
      <c r="AS168" s="141">
        <v>0.47023384013488378</v>
      </c>
    </row>
    <row r="169" spans="1:46" s="134" customFormat="1" x14ac:dyDescent="0.2">
      <c r="B169" s="134" t="s">
        <v>225</v>
      </c>
      <c r="D169" s="135"/>
      <c r="F169" s="137"/>
      <c r="G169" s="145"/>
      <c r="H169" s="145"/>
      <c r="I169" s="145"/>
      <c r="J169" s="145"/>
      <c r="K169" s="145"/>
      <c r="L169" s="145"/>
      <c r="M169" s="145"/>
      <c r="N169" s="145"/>
      <c r="O169" s="145"/>
      <c r="P169" s="137"/>
      <c r="Q169" s="145"/>
      <c r="R169" s="137"/>
      <c r="S169" s="145"/>
      <c r="W169" s="144"/>
      <c r="Z169"/>
      <c r="AF169" s="137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37"/>
      <c r="AQ169" s="145"/>
      <c r="AR169" s="137"/>
      <c r="AS169" s="145"/>
    </row>
    <row r="170" spans="1:46" s="134" customFormat="1" ht="15" customHeight="1" x14ac:dyDescent="0.2">
      <c r="A170" s="694" t="s">
        <v>8</v>
      </c>
      <c r="B170" s="694"/>
      <c r="C170" s="694"/>
      <c r="D170" s="135"/>
      <c r="E170" s="146"/>
      <c r="F170" s="147">
        <v>380808.94754379877</v>
      </c>
      <c r="G170" s="147">
        <v>341219.97754379874</v>
      </c>
      <c r="H170" s="147">
        <v>39588.969999999994</v>
      </c>
      <c r="I170" s="147">
        <v>332542.29000000004</v>
      </c>
      <c r="J170" s="147">
        <v>325713.69</v>
      </c>
      <c r="K170" s="147">
        <v>6827.98</v>
      </c>
      <c r="L170" s="147">
        <v>1126698.0999999999</v>
      </c>
      <c r="M170" s="147">
        <v>179734.05000000002</v>
      </c>
      <c r="N170" s="147">
        <v>946964.04999999993</v>
      </c>
      <c r="O170" s="148"/>
      <c r="P170" s="147">
        <v>1840049.3375437993</v>
      </c>
      <c r="Q170" s="147">
        <v>846667.7175437985</v>
      </c>
      <c r="R170" s="147">
        <v>993381.00000000023</v>
      </c>
      <c r="S170" s="148">
        <v>0.46013316070860244</v>
      </c>
      <c r="U170" s="142">
        <v>7.5454482456893128</v>
      </c>
      <c r="V170" s="142">
        <v>20.417096533525164</v>
      </c>
      <c r="W170" s="134" t="s">
        <v>8</v>
      </c>
      <c r="X170" s="149">
        <v>0.50323542125014009</v>
      </c>
      <c r="Z170"/>
      <c r="AF170" s="147">
        <v>380808.94754379877</v>
      </c>
      <c r="AG170" s="147">
        <v>341219.97754379874</v>
      </c>
      <c r="AH170" s="147">
        <v>39588.969999999994</v>
      </c>
      <c r="AI170" s="147">
        <v>332542.29000000004</v>
      </c>
      <c r="AJ170" s="147">
        <v>325713.69</v>
      </c>
      <c r="AK170" s="147">
        <v>6827.98</v>
      </c>
      <c r="AL170" s="147">
        <v>1126698.0999999999</v>
      </c>
      <c r="AM170" s="147">
        <v>179734.05000000002</v>
      </c>
      <c r="AN170" s="147">
        <v>946964.04999999993</v>
      </c>
      <c r="AO170" s="148"/>
      <c r="AP170" s="147">
        <v>1840049.3375437993</v>
      </c>
      <c r="AQ170" s="147">
        <v>846667.7175437985</v>
      </c>
      <c r="AR170" s="147">
        <v>993381.00000000023</v>
      </c>
      <c r="AS170" s="148">
        <v>0.46013316070860244</v>
      </c>
    </row>
    <row r="171" spans="1:46" s="134" customFormat="1" ht="15" customHeight="1" x14ac:dyDescent="0.2">
      <c r="A171" s="694" t="s">
        <v>9</v>
      </c>
      <c r="B171" s="694"/>
      <c r="C171" s="694"/>
      <c r="D171" s="135"/>
      <c r="E171" s="146"/>
      <c r="F171" s="147">
        <v>173477.81545757598</v>
      </c>
      <c r="G171" s="147">
        <v>164952.59545757601</v>
      </c>
      <c r="H171" s="147">
        <v>8525.2200000000012</v>
      </c>
      <c r="I171" s="147">
        <v>193491.59</v>
      </c>
      <c r="J171" s="147">
        <v>191933.47000000003</v>
      </c>
      <c r="K171" s="147">
        <v>1558.1200000000001</v>
      </c>
      <c r="L171" s="147">
        <v>443772.80000000005</v>
      </c>
      <c r="M171" s="147">
        <v>26841.4</v>
      </c>
      <c r="N171" s="147">
        <v>416931.39999999997</v>
      </c>
      <c r="O171" s="148"/>
      <c r="P171" s="147">
        <v>810742.20545757597</v>
      </c>
      <c r="Q171" s="147">
        <v>383727.46545757604</v>
      </c>
      <c r="R171" s="147">
        <v>427014.74</v>
      </c>
      <c r="S171" s="148">
        <v>0.47330392185639769</v>
      </c>
      <c r="U171" s="142">
        <v>10.683819030950916</v>
      </c>
      <c r="V171" s="142">
        <v>25.839977226102402</v>
      </c>
      <c r="W171" s="134" t="s">
        <v>9</v>
      </c>
      <c r="X171" s="149">
        <v>0.22173003025740837</v>
      </c>
      <c r="Y171" s="149"/>
      <c r="Z171"/>
      <c r="AF171" s="147">
        <v>173477.81545757598</v>
      </c>
      <c r="AG171" s="147">
        <v>164952.59545757601</v>
      </c>
      <c r="AH171" s="147">
        <v>8525.2200000000012</v>
      </c>
      <c r="AI171" s="147">
        <v>193491.59</v>
      </c>
      <c r="AJ171" s="147">
        <v>191933.47000000003</v>
      </c>
      <c r="AK171" s="147">
        <v>1558.1200000000001</v>
      </c>
      <c r="AL171" s="147">
        <v>443772.80000000005</v>
      </c>
      <c r="AM171" s="147">
        <v>26841.4</v>
      </c>
      <c r="AN171" s="147">
        <v>416931.39999999997</v>
      </c>
      <c r="AO171" s="148"/>
      <c r="AP171" s="147">
        <v>810742.20545757597</v>
      </c>
      <c r="AQ171" s="147">
        <v>383727.46545757604</v>
      </c>
      <c r="AR171" s="147">
        <v>427014.74</v>
      </c>
      <c r="AS171" s="148">
        <v>0.47330392185639769</v>
      </c>
    </row>
    <row r="172" spans="1:46" s="134" customFormat="1" ht="15" customHeight="1" x14ac:dyDescent="0.2">
      <c r="A172" s="694" t="s">
        <v>10</v>
      </c>
      <c r="B172" s="694"/>
      <c r="C172" s="694"/>
      <c r="D172" s="135"/>
      <c r="E172" s="146"/>
      <c r="F172" s="147">
        <v>123529.86061449163</v>
      </c>
      <c r="G172" s="147">
        <v>116162.95061449165</v>
      </c>
      <c r="H172" s="147">
        <v>7366.9100000000008</v>
      </c>
      <c r="I172" s="147">
        <v>129991.03999999999</v>
      </c>
      <c r="J172" s="147">
        <v>127371.73999999999</v>
      </c>
      <c r="K172" s="147">
        <v>2618.36</v>
      </c>
      <c r="L172" s="147">
        <v>202590.31999999995</v>
      </c>
      <c r="M172" s="147">
        <v>15440.43</v>
      </c>
      <c r="N172" s="147">
        <v>187149.88999999998</v>
      </c>
      <c r="O172" s="148"/>
      <c r="P172" s="147">
        <v>456111.22061449167</v>
      </c>
      <c r="Q172" s="147">
        <v>258975.12061449167</v>
      </c>
      <c r="R172" s="147">
        <v>197135.15999999997</v>
      </c>
      <c r="S172" s="148">
        <v>0.56778940949005774</v>
      </c>
      <c r="U172" s="142">
        <v>10.790471947556608</v>
      </c>
      <c r="V172" s="142">
        <v>22.973668552994262</v>
      </c>
      <c r="W172" s="134" t="s">
        <v>10</v>
      </c>
      <c r="X172" s="149">
        <v>0.12474193901194004</v>
      </c>
      <c r="Y172" s="149"/>
      <c r="Z172"/>
      <c r="AF172" s="147">
        <v>123529.86061449163</v>
      </c>
      <c r="AG172" s="147">
        <v>116162.95061449165</v>
      </c>
      <c r="AH172" s="147">
        <v>7366.9100000000008</v>
      </c>
      <c r="AI172" s="147">
        <v>129991.03999999999</v>
      </c>
      <c r="AJ172" s="147">
        <v>127371.73999999999</v>
      </c>
      <c r="AK172" s="147">
        <v>2618.36</v>
      </c>
      <c r="AL172" s="147">
        <v>202590.31999999995</v>
      </c>
      <c r="AM172" s="147">
        <v>15440.43</v>
      </c>
      <c r="AN172" s="147">
        <v>187149.88999999998</v>
      </c>
      <c r="AO172" s="148"/>
      <c r="AP172" s="147">
        <v>456111.22061449167</v>
      </c>
      <c r="AQ172" s="147">
        <v>258975.12061449167</v>
      </c>
      <c r="AR172" s="147">
        <v>197135.15999999997</v>
      </c>
      <c r="AS172" s="148">
        <v>0.56778940949005774</v>
      </c>
    </row>
    <row r="173" spans="1:46" s="134" customFormat="1" ht="15" customHeight="1" x14ac:dyDescent="0.2">
      <c r="A173" s="694" t="s">
        <v>11</v>
      </c>
      <c r="B173" s="694"/>
      <c r="C173" s="694"/>
      <c r="D173" s="135"/>
      <c r="E173" s="146"/>
      <c r="F173" s="147">
        <v>119302.9842284714</v>
      </c>
      <c r="G173" s="147">
        <v>109676.28422847141</v>
      </c>
      <c r="H173" s="147">
        <v>9626.7000000000025</v>
      </c>
      <c r="I173" s="147">
        <v>122852.83000000003</v>
      </c>
      <c r="J173" s="147">
        <v>114542.66999999998</v>
      </c>
      <c r="K173" s="147">
        <v>8306.4599999999991</v>
      </c>
      <c r="L173" s="147">
        <v>307379.86</v>
      </c>
      <c r="M173" s="147">
        <v>5791.8300000000008</v>
      </c>
      <c r="N173" s="147">
        <v>301588.02999999997</v>
      </c>
      <c r="O173" s="148"/>
      <c r="P173" s="147">
        <v>549535.67422847147</v>
      </c>
      <c r="Q173" s="147">
        <v>230010.78422847152</v>
      </c>
      <c r="R173" s="147">
        <v>319521.19</v>
      </c>
      <c r="S173" s="148">
        <v>0.41855478181903016</v>
      </c>
      <c r="U173" s="142">
        <v>10.307271307441191</v>
      </c>
      <c r="V173" s="142">
        <v>20.5503437734695</v>
      </c>
      <c r="W173" s="134" t="s">
        <v>11</v>
      </c>
      <c r="X173" s="149">
        <v>0.15029260948051176</v>
      </c>
      <c r="Z173"/>
      <c r="AF173" s="147">
        <v>119302.9842284714</v>
      </c>
      <c r="AG173" s="147">
        <v>109676.28422847141</v>
      </c>
      <c r="AH173" s="147">
        <v>9626.7000000000025</v>
      </c>
      <c r="AI173" s="147">
        <v>122852.83000000003</v>
      </c>
      <c r="AJ173" s="147">
        <v>114542.66999999998</v>
      </c>
      <c r="AK173" s="147">
        <v>8306.4599999999991</v>
      </c>
      <c r="AL173" s="147">
        <v>307379.86</v>
      </c>
      <c r="AM173" s="147">
        <v>5791.8300000000008</v>
      </c>
      <c r="AN173" s="147">
        <v>301588.02999999997</v>
      </c>
      <c r="AO173" s="148"/>
      <c r="AP173" s="147">
        <v>549535.67422847147</v>
      </c>
      <c r="AQ173" s="147">
        <v>230010.78422847152</v>
      </c>
      <c r="AR173" s="147">
        <v>319521.19</v>
      </c>
      <c r="AS173" s="148">
        <v>0.41855478181903016</v>
      </c>
    </row>
    <row r="174" spans="1:46" s="134" customFormat="1" ht="15" customHeight="1" x14ac:dyDescent="0.2">
      <c r="A174" s="95"/>
      <c r="B174" s="95"/>
      <c r="C174" s="95"/>
      <c r="D174" s="135"/>
      <c r="E174" s="146"/>
      <c r="F174" s="151"/>
      <c r="G174" s="151"/>
      <c r="H174" s="151"/>
      <c r="I174" s="151"/>
      <c r="J174" s="151"/>
      <c r="K174" s="151"/>
      <c r="L174" s="151"/>
      <c r="M174" s="151"/>
      <c r="N174" s="151"/>
      <c r="O174" s="152"/>
      <c r="P174" s="151"/>
      <c r="Q174" s="151"/>
      <c r="R174" s="151"/>
      <c r="S174" s="152"/>
      <c r="U174" s="142"/>
      <c r="V174" s="142"/>
      <c r="Z174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2"/>
      <c r="AP174" s="151"/>
      <c r="AQ174" s="151"/>
      <c r="AR174" s="151"/>
      <c r="AS174" s="152"/>
    </row>
    <row r="175" spans="1:46" s="134" customFormat="1" ht="15" customHeight="1" x14ac:dyDescent="0.2">
      <c r="A175" s="701" t="s">
        <v>7</v>
      </c>
      <c r="B175" s="702"/>
      <c r="C175" s="703"/>
      <c r="D175" s="154"/>
      <c r="E175" s="155"/>
      <c r="F175" s="156">
        <v>782031.89527726988</v>
      </c>
      <c r="G175" s="156">
        <v>720045.88527726964</v>
      </c>
      <c r="H175" s="156">
        <v>61986.01</v>
      </c>
      <c r="I175" s="156">
        <v>692488.29999999993</v>
      </c>
      <c r="J175" s="156">
        <v>667499.17999999993</v>
      </c>
      <c r="K175" s="156">
        <v>24981.379999999994</v>
      </c>
      <c r="L175" s="156">
        <v>2108030.7299999995</v>
      </c>
      <c r="M175" s="156">
        <v>311446.9599999999</v>
      </c>
      <c r="N175" s="156">
        <v>1796583.7699999998</v>
      </c>
      <c r="O175" s="156"/>
      <c r="P175" s="156">
        <v>3582550.9252772708</v>
      </c>
      <c r="Q175" s="156">
        <v>1698992.02527727</v>
      </c>
      <c r="R175" s="156">
        <v>1883551.1600000004</v>
      </c>
      <c r="S175" s="157">
        <v>0.47424085818006251</v>
      </c>
      <c r="T175" s="155"/>
      <c r="U175" s="158">
        <v>8.764636000794594</v>
      </c>
      <c r="V175" s="158">
        <v>22.310733407541157</v>
      </c>
      <c r="Z175"/>
      <c r="AF175" s="156">
        <v>782031.89527726988</v>
      </c>
      <c r="AG175" s="156">
        <v>720045.88527726964</v>
      </c>
      <c r="AH175" s="156">
        <v>61986.01</v>
      </c>
      <c r="AI175" s="156">
        <v>692488.29999999993</v>
      </c>
      <c r="AJ175" s="156">
        <v>667499.17999999993</v>
      </c>
      <c r="AK175" s="156">
        <v>24981.379999999994</v>
      </c>
      <c r="AL175" s="156">
        <v>2108030.7299999995</v>
      </c>
      <c r="AM175" s="156">
        <v>311446.9599999999</v>
      </c>
      <c r="AN175" s="156">
        <v>1796583.7699999998</v>
      </c>
      <c r="AO175" s="156"/>
      <c r="AP175" s="156">
        <v>3582550.9252772708</v>
      </c>
      <c r="AQ175" s="156">
        <v>1698992.02527727</v>
      </c>
      <c r="AR175" s="156">
        <v>1883551.1600000004</v>
      </c>
      <c r="AS175" s="157">
        <v>0.47424085818006251</v>
      </c>
      <c r="AT175" s="155"/>
    </row>
    <row r="176" spans="1:46" s="134" customFormat="1" ht="15" customHeight="1" x14ac:dyDescent="0.2">
      <c r="A176" s="155"/>
      <c r="B176" s="155" t="s">
        <v>226</v>
      </c>
      <c r="C176" s="155"/>
      <c r="D176" s="154"/>
      <c r="E176" s="155"/>
      <c r="F176" s="159"/>
      <c r="G176" s="160"/>
      <c r="H176" s="160"/>
      <c r="I176" s="160"/>
      <c r="J176" s="160"/>
      <c r="K176" s="160"/>
      <c r="L176" s="160"/>
      <c r="M176" s="160"/>
      <c r="N176" s="160"/>
      <c r="O176" s="160"/>
      <c r="P176" s="159"/>
      <c r="Q176" s="160"/>
      <c r="R176" s="159"/>
      <c r="S176" s="160"/>
      <c r="T176" s="155"/>
      <c r="U176" s="155"/>
      <c r="V176" s="155"/>
      <c r="W176" s="144"/>
      <c r="Z176"/>
      <c r="AF176" s="159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59"/>
      <c r="AQ176" s="160"/>
      <c r="AR176" s="159"/>
      <c r="AS176" s="160"/>
      <c r="AT176" s="155"/>
    </row>
    <row r="177" spans="1:46" s="134" customFormat="1" ht="15" customHeight="1" x14ac:dyDescent="0.2">
      <c r="A177" s="704" t="s">
        <v>8</v>
      </c>
      <c r="B177" s="704"/>
      <c r="C177" s="704"/>
      <c r="D177" s="154"/>
      <c r="E177" s="161"/>
      <c r="F177" s="162">
        <v>375061.18374457106</v>
      </c>
      <c r="G177" s="162">
        <v>339864.84374457109</v>
      </c>
      <c r="H177" s="162">
        <v>35196.339999999997</v>
      </c>
      <c r="I177" s="162">
        <v>271793.49</v>
      </c>
      <c r="J177" s="162">
        <v>263502.86000000004</v>
      </c>
      <c r="K177" s="162">
        <v>8288.5600000000013</v>
      </c>
      <c r="L177" s="162">
        <v>1119639.6900000002</v>
      </c>
      <c r="M177" s="162">
        <v>258799.27999999994</v>
      </c>
      <c r="N177" s="162">
        <v>860840.41</v>
      </c>
      <c r="O177" s="163"/>
      <c r="P177" s="162">
        <v>1766494.3637445706</v>
      </c>
      <c r="Q177" s="162">
        <v>862166.9837445711</v>
      </c>
      <c r="R177" s="162">
        <v>904325.31</v>
      </c>
      <c r="S177" s="163">
        <v>0.48806664852129561</v>
      </c>
      <c r="T177" s="155"/>
      <c r="U177" s="158">
        <v>7.3903405666579411</v>
      </c>
      <c r="V177" s="158">
        <v>20.397578699162302</v>
      </c>
      <c r="W177" s="134" t="s">
        <v>8</v>
      </c>
      <c r="Z177"/>
      <c r="AF177" s="162">
        <v>375061.18374457106</v>
      </c>
      <c r="AG177" s="162">
        <v>339864.84374457109</v>
      </c>
      <c r="AH177" s="162">
        <v>35196.339999999997</v>
      </c>
      <c r="AI177" s="162">
        <v>271793.49</v>
      </c>
      <c r="AJ177" s="162">
        <v>263502.86000000004</v>
      </c>
      <c r="AK177" s="162">
        <v>8288.5600000000013</v>
      </c>
      <c r="AL177" s="162">
        <v>1119639.6900000002</v>
      </c>
      <c r="AM177" s="162">
        <v>258799.27999999994</v>
      </c>
      <c r="AN177" s="162">
        <v>860840.41</v>
      </c>
      <c r="AO177" s="163"/>
      <c r="AP177" s="162">
        <v>1766494.3637445706</v>
      </c>
      <c r="AQ177" s="162">
        <v>862166.9837445711</v>
      </c>
      <c r="AR177" s="162">
        <v>904325.31</v>
      </c>
      <c r="AS177" s="163">
        <v>0.48806664852129561</v>
      </c>
      <c r="AT177" s="155"/>
    </row>
    <row r="178" spans="1:46" s="134" customFormat="1" ht="15" customHeight="1" x14ac:dyDescent="0.2">
      <c r="A178" s="704" t="s">
        <v>9</v>
      </c>
      <c r="B178" s="704"/>
      <c r="C178" s="704"/>
      <c r="D178" s="154"/>
      <c r="E178" s="161"/>
      <c r="F178" s="162">
        <v>170685.48886769806</v>
      </c>
      <c r="G178" s="162">
        <v>161711.05886769807</v>
      </c>
      <c r="H178" s="162">
        <v>8974.43</v>
      </c>
      <c r="I178" s="162">
        <v>175081.91</v>
      </c>
      <c r="J178" s="162">
        <v>172990.63</v>
      </c>
      <c r="K178" s="162">
        <v>2091.16</v>
      </c>
      <c r="L178" s="162">
        <v>448675.76999999996</v>
      </c>
      <c r="M178" s="162">
        <v>22617.77</v>
      </c>
      <c r="N178" s="162">
        <v>426057.99999999994</v>
      </c>
      <c r="O178" s="163"/>
      <c r="P178" s="162">
        <v>794443.16886769817</v>
      </c>
      <c r="Q178" s="162">
        <v>357319.45886769809</v>
      </c>
      <c r="R178" s="162">
        <v>437123.59</v>
      </c>
      <c r="S178" s="163">
        <v>0.44977346759363218</v>
      </c>
      <c r="T178" s="155"/>
      <c r="U178" s="158">
        <v>10.60192337141871</v>
      </c>
      <c r="V178" s="158">
        <v>25.621648189627635</v>
      </c>
      <c r="W178" s="134" t="s">
        <v>9</v>
      </c>
      <c r="Z178"/>
      <c r="AF178" s="162">
        <v>170685.48886769806</v>
      </c>
      <c r="AG178" s="162">
        <v>161711.05886769807</v>
      </c>
      <c r="AH178" s="162">
        <v>8974.43</v>
      </c>
      <c r="AI178" s="162">
        <v>175081.91</v>
      </c>
      <c r="AJ178" s="162">
        <v>172990.63</v>
      </c>
      <c r="AK178" s="162">
        <v>2091.16</v>
      </c>
      <c r="AL178" s="162">
        <v>448675.76999999996</v>
      </c>
      <c r="AM178" s="162">
        <v>22617.77</v>
      </c>
      <c r="AN178" s="162">
        <v>426057.99999999994</v>
      </c>
      <c r="AO178" s="163"/>
      <c r="AP178" s="162">
        <v>794443.16886769817</v>
      </c>
      <c r="AQ178" s="162">
        <v>357319.45886769809</v>
      </c>
      <c r="AR178" s="162">
        <v>437123.59</v>
      </c>
      <c r="AS178" s="163">
        <v>0.44977346759363218</v>
      </c>
      <c r="AT178" s="155"/>
    </row>
    <row r="179" spans="1:46" s="134" customFormat="1" ht="15" customHeight="1" x14ac:dyDescent="0.2">
      <c r="A179" s="704" t="s">
        <v>10</v>
      </c>
      <c r="B179" s="704"/>
      <c r="C179" s="704"/>
      <c r="D179" s="154"/>
      <c r="E179" s="161"/>
      <c r="F179" s="162">
        <v>119407.59367749795</v>
      </c>
      <c r="G179" s="162">
        <v>111134.643677498</v>
      </c>
      <c r="H179" s="162">
        <v>8272.9500000000007</v>
      </c>
      <c r="I179" s="162">
        <v>133846.01999999999</v>
      </c>
      <c r="J179" s="162">
        <v>131121.15</v>
      </c>
      <c r="K179" s="162">
        <v>2723.84</v>
      </c>
      <c r="L179" s="162">
        <v>204943.38999999998</v>
      </c>
      <c r="M179" s="162">
        <v>15763.98</v>
      </c>
      <c r="N179" s="162">
        <v>189179.40999999997</v>
      </c>
      <c r="O179" s="163"/>
      <c r="P179" s="162">
        <v>458197.00367749797</v>
      </c>
      <c r="Q179" s="162">
        <v>258019.77367749793</v>
      </c>
      <c r="R179" s="162">
        <v>200176.2</v>
      </c>
      <c r="S179" s="163">
        <v>0.56311973148367678</v>
      </c>
      <c r="T179" s="155"/>
      <c r="U179" s="158">
        <v>10.946686841898371</v>
      </c>
      <c r="V179" s="158">
        <v>24.414959171947977</v>
      </c>
      <c r="W179" s="134" t="s">
        <v>10</v>
      </c>
      <c r="Z179"/>
      <c r="AF179" s="162">
        <v>119407.59367749795</v>
      </c>
      <c r="AG179" s="162">
        <v>111134.643677498</v>
      </c>
      <c r="AH179" s="162">
        <v>8272.9500000000007</v>
      </c>
      <c r="AI179" s="162">
        <v>133846.01999999999</v>
      </c>
      <c r="AJ179" s="162">
        <v>131121.15</v>
      </c>
      <c r="AK179" s="162">
        <v>2723.84</v>
      </c>
      <c r="AL179" s="162">
        <v>204943.38999999998</v>
      </c>
      <c r="AM179" s="162">
        <v>15763.98</v>
      </c>
      <c r="AN179" s="162">
        <v>189179.40999999997</v>
      </c>
      <c r="AO179" s="163"/>
      <c r="AP179" s="162">
        <v>458197.00367749797</v>
      </c>
      <c r="AQ179" s="162">
        <v>258019.77367749793</v>
      </c>
      <c r="AR179" s="162">
        <v>200176.2</v>
      </c>
      <c r="AS179" s="163">
        <v>0.56311973148367678</v>
      </c>
      <c r="AT179" s="155"/>
    </row>
    <row r="180" spans="1:46" s="134" customFormat="1" ht="15" customHeight="1" x14ac:dyDescent="0.2">
      <c r="A180" s="704" t="s">
        <v>11</v>
      </c>
      <c r="B180" s="704"/>
      <c r="C180" s="704"/>
      <c r="D180" s="154"/>
      <c r="E180" s="161"/>
      <c r="F180" s="162">
        <v>116877.62898750273</v>
      </c>
      <c r="G180" s="162">
        <v>107335.33898750271</v>
      </c>
      <c r="H180" s="162">
        <v>9542.2899999999991</v>
      </c>
      <c r="I180" s="162">
        <v>111766.87999999998</v>
      </c>
      <c r="J180" s="162">
        <v>99884.539999999979</v>
      </c>
      <c r="K180" s="162">
        <v>11877.82</v>
      </c>
      <c r="L180" s="162">
        <v>334771.87999999989</v>
      </c>
      <c r="M180" s="162">
        <v>14265.93</v>
      </c>
      <c r="N180" s="162">
        <v>320505.94999999995</v>
      </c>
      <c r="O180" s="163"/>
      <c r="P180" s="162">
        <v>563416.38898750267</v>
      </c>
      <c r="Q180" s="162">
        <v>221485.80898750279</v>
      </c>
      <c r="R180" s="162">
        <v>341926.05999999994</v>
      </c>
      <c r="S180" s="163">
        <v>0.39311211621928105</v>
      </c>
      <c r="T180" s="155"/>
      <c r="U180" s="158">
        <v>10.644113534125703</v>
      </c>
      <c r="V180" s="158">
        <v>23.283300721715982</v>
      </c>
      <c r="W180" s="134" t="s">
        <v>11</v>
      </c>
      <c r="Z180"/>
      <c r="AF180" s="162">
        <v>116877.62898750273</v>
      </c>
      <c r="AG180" s="162">
        <v>107335.33898750271</v>
      </c>
      <c r="AH180" s="162">
        <v>9542.2899999999991</v>
      </c>
      <c r="AI180" s="162">
        <v>111766.87999999998</v>
      </c>
      <c r="AJ180" s="162">
        <v>99884.539999999979</v>
      </c>
      <c r="AK180" s="162">
        <v>11877.82</v>
      </c>
      <c r="AL180" s="162">
        <v>334771.87999999989</v>
      </c>
      <c r="AM180" s="162">
        <v>14265.93</v>
      </c>
      <c r="AN180" s="162">
        <v>320505.94999999995</v>
      </c>
      <c r="AO180" s="163"/>
      <c r="AP180" s="162">
        <v>563416.38898750267</v>
      </c>
      <c r="AQ180" s="162">
        <v>221485.80898750279</v>
      </c>
      <c r="AR180" s="162">
        <v>341926.05999999994</v>
      </c>
      <c r="AS180" s="163">
        <v>0.39311211621928105</v>
      </c>
      <c r="AT180" s="155"/>
    </row>
    <row r="181" spans="1:46" s="134" customFormat="1" ht="15" customHeight="1" x14ac:dyDescent="0.2">
      <c r="A181" s="95"/>
      <c r="B181" s="95"/>
      <c r="C181" s="95"/>
      <c r="D181" s="135"/>
      <c r="E181" s="146"/>
      <c r="F181" s="151"/>
      <c r="G181" s="151"/>
      <c r="H181" s="151"/>
      <c r="I181" s="151"/>
      <c r="J181" s="151"/>
      <c r="K181" s="151"/>
      <c r="L181" s="151"/>
      <c r="M181" s="151"/>
      <c r="N181" s="151"/>
      <c r="O181" s="152"/>
      <c r="P181" s="151"/>
      <c r="Q181" s="151"/>
      <c r="R181" s="151"/>
      <c r="S181" s="152"/>
      <c r="U181" s="142"/>
      <c r="V181" s="142"/>
      <c r="Z18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2"/>
      <c r="AP181" s="151"/>
      <c r="AQ181" s="151"/>
      <c r="AR181" s="151"/>
      <c r="AS181" s="152"/>
    </row>
    <row r="182" spans="1:46" s="134" customFormat="1" ht="15" customHeight="1" x14ac:dyDescent="0.2">
      <c r="A182" s="95"/>
      <c r="B182" s="95"/>
      <c r="C182" s="95"/>
      <c r="D182" s="135"/>
      <c r="E182" s="146"/>
      <c r="F182" s="151"/>
      <c r="G182" s="151"/>
      <c r="H182" s="151"/>
      <c r="I182" s="151"/>
      <c r="J182" s="151"/>
      <c r="K182" s="151"/>
      <c r="L182" s="151"/>
      <c r="M182" s="151"/>
      <c r="N182" s="151"/>
      <c r="O182" s="152"/>
      <c r="P182" s="151"/>
      <c r="Q182" s="151"/>
      <c r="R182" s="151"/>
      <c r="S182" s="152"/>
      <c r="U182" s="142"/>
      <c r="V182" s="142"/>
      <c r="Z182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2"/>
      <c r="AP182" s="151"/>
      <c r="AQ182" s="151"/>
      <c r="AR182" s="151"/>
      <c r="AS182" s="152"/>
    </row>
    <row r="183" spans="1:46" s="134" customFormat="1" ht="15" customHeight="1" x14ac:dyDescent="0.2">
      <c r="A183" s="695" t="s">
        <v>7</v>
      </c>
      <c r="B183" s="696"/>
      <c r="C183" s="697"/>
      <c r="D183" s="164"/>
      <c r="E183" s="165"/>
      <c r="F183" s="166">
        <v>804189.07999999984</v>
      </c>
      <c r="G183" s="166">
        <v>738647.92000000027</v>
      </c>
      <c r="H183" s="166">
        <v>65541.16</v>
      </c>
      <c r="I183" s="166">
        <v>700454.62</v>
      </c>
      <c r="J183" s="166">
        <v>673804.09</v>
      </c>
      <c r="K183" s="166">
        <v>26650.53</v>
      </c>
      <c r="L183" s="166">
        <v>2122311.4200000004</v>
      </c>
      <c r="M183" s="166">
        <v>301761.65999999986</v>
      </c>
      <c r="N183" s="166">
        <v>1820550.0200000003</v>
      </c>
      <c r="O183" s="166"/>
      <c r="P183" s="166">
        <v>3626955.12</v>
      </c>
      <c r="Q183" s="166">
        <v>1714213.6700000002</v>
      </c>
      <c r="R183" s="166">
        <v>1912741.7100000002</v>
      </c>
      <c r="S183" s="167">
        <v>0.47263161888807714</v>
      </c>
      <c r="T183" s="165"/>
      <c r="U183" s="168">
        <v>9.0211811421650729</v>
      </c>
      <c r="V183" s="168">
        <v>23.252452021400295</v>
      </c>
      <c r="Y183" s="149"/>
      <c r="Z183"/>
      <c r="AA183" s="149"/>
      <c r="AF183" s="166">
        <v>804189.07999999984</v>
      </c>
      <c r="AG183" s="166">
        <v>738647.92000000027</v>
      </c>
      <c r="AH183" s="166">
        <v>65541.16</v>
      </c>
      <c r="AI183" s="166">
        <v>0</v>
      </c>
      <c r="AJ183" s="166">
        <v>0</v>
      </c>
      <c r="AK183" s="166">
        <v>0</v>
      </c>
      <c r="AL183" s="166">
        <v>2122311.4200000004</v>
      </c>
      <c r="AM183" s="166">
        <v>301761.65999999986</v>
      </c>
      <c r="AN183" s="166">
        <v>1820550.0200000003</v>
      </c>
      <c r="AO183" s="166"/>
      <c r="AP183" s="166">
        <v>2926500.5</v>
      </c>
      <c r="AQ183" s="166">
        <v>1040409.5800000001</v>
      </c>
      <c r="AR183" s="166">
        <v>1886091.1800000002</v>
      </c>
      <c r="AS183" s="167">
        <v>0.35551320766902317</v>
      </c>
      <c r="AT183" s="165"/>
    </row>
    <row r="184" spans="1:46" s="134" customFormat="1" ht="15" customHeight="1" x14ac:dyDescent="0.2">
      <c r="A184" s="165"/>
      <c r="B184" s="165" t="s">
        <v>227</v>
      </c>
      <c r="C184" s="165"/>
      <c r="D184" s="164"/>
      <c r="E184" s="165"/>
      <c r="F184" s="169"/>
      <c r="G184" s="170"/>
      <c r="H184" s="170"/>
      <c r="I184" s="170"/>
      <c r="J184" s="170"/>
      <c r="K184" s="170"/>
      <c r="L184" s="170"/>
      <c r="M184" s="170"/>
      <c r="N184" s="170"/>
      <c r="O184" s="170"/>
      <c r="P184" s="169"/>
      <c r="Q184" s="170"/>
      <c r="R184" s="169"/>
      <c r="S184" s="170"/>
      <c r="T184" s="165"/>
      <c r="U184" s="165"/>
      <c r="V184" s="165"/>
      <c r="Z184"/>
      <c r="AA184" s="149"/>
      <c r="AF184" s="169"/>
      <c r="AG184" s="170"/>
      <c r="AH184" s="170"/>
      <c r="AI184" s="170"/>
      <c r="AJ184" s="170"/>
      <c r="AK184" s="170"/>
      <c r="AL184" s="170"/>
      <c r="AM184" s="170"/>
      <c r="AN184" s="170"/>
      <c r="AO184" s="170"/>
      <c r="AP184" s="169"/>
      <c r="AQ184" s="170"/>
      <c r="AR184" s="169"/>
      <c r="AS184" s="170"/>
      <c r="AT184" s="165"/>
    </row>
    <row r="185" spans="1:46" s="134" customFormat="1" ht="15" customHeight="1" x14ac:dyDescent="0.2">
      <c r="A185" s="686" t="s">
        <v>8</v>
      </c>
      <c r="B185" s="686"/>
      <c r="C185" s="686"/>
      <c r="D185" s="164"/>
      <c r="E185" s="171"/>
      <c r="F185" s="172">
        <v>390401.29599999997</v>
      </c>
      <c r="G185" s="172">
        <v>355948.826</v>
      </c>
      <c r="H185" s="172">
        <v>34452.470000000008</v>
      </c>
      <c r="I185" s="172">
        <v>307843.94</v>
      </c>
      <c r="J185" s="172">
        <v>300911.72000000003</v>
      </c>
      <c r="K185" s="172">
        <v>6932.2199999999993</v>
      </c>
      <c r="L185" s="172">
        <v>1131346.7200000002</v>
      </c>
      <c r="M185" s="172">
        <v>249801.56</v>
      </c>
      <c r="N185" s="172">
        <v>881545.15999999992</v>
      </c>
      <c r="O185" s="173"/>
      <c r="P185" s="172">
        <v>1829591.9560000002</v>
      </c>
      <c r="Q185" s="172">
        <v>906662.10600000015</v>
      </c>
      <c r="R185" s="172">
        <v>922929.85</v>
      </c>
      <c r="S185" s="173">
        <v>0.49555426991612772</v>
      </c>
      <c r="T185" s="165"/>
      <c r="U185" s="168">
        <v>7.8795454844352104</v>
      </c>
      <c r="V185" s="168">
        <v>21.882988411378587</v>
      </c>
      <c r="W185" s="134" t="s">
        <v>8</v>
      </c>
      <c r="Z185"/>
      <c r="AF185" s="172">
        <v>390401.29599999997</v>
      </c>
      <c r="AG185" s="172">
        <v>355948.826</v>
      </c>
      <c r="AH185" s="172">
        <v>34452.470000000008</v>
      </c>
      <c r="AI185" s="172">
        <v>0</v>
      </c>
      <c r="AJ185" s="172">
        <v>0</v>
      </c>
      <c r="AK185" s="172">
        <v>0</v>
      </c>
      <c r="AL185" s="172">
        <v>1131346.7200000002</v>
      </c>
      <c r="AM185" s="172">
        <v>249801.56</v>
      </c>
      <c r="AN185" s="172">
        <v>881545.15999999992</v>
      </c>
      <c r="AO185" s="173"/>
      <c r="AP185" s="172">
        <v>1521748.0160000003</v>
      </c>
      <c r="AQ185" s="172">
        <v>605750.38599999994</v>
      </c>
      <c r="AR185" s="172">
        <v>915997.62999999989</v>
      </c>
      <c r="AS185" s="173">
        <v>0.39806221505203515</v>
      </c>
      <c r="AT185" s="165"/>
    </row>
    <row r="186" spans="1:46" s="134" customFormat="1" ht="15" customHeight="1" x14ac:dyDescent="0.2">
      <c r="A186" s="686" t="s">
        <v>9</v>
      </c>
      <c r="B186" s="686"/>
      <c r="C186" s="686"/>
      <c r="D186" s="164"/>
      <c r="E186" s="171"/>
      <c r="F186" s="172">
        <v>177210.03</v>
      </c>
      <c r="G186" s="172">
        <v>162778.99000000002</v>
      </c>
      <c r="H186" s="172">
        <v>14431.04</v>
      </c>
      <c r="I186" s="172">
        <v>160361.87</v>
      </c>
      <c r="J186" s="172">
        <v>155321.43</v>
      </c>
      <c r="K186" s="172">
        <v>5040.4400000000005</v>
      </c>
      <c r="L186" s="172">
        <v>461253.51</v>
      </c>
      <c r="M186" s="172">
        <v>26994.469999999998</v>
      </c>
      <c r="N186" s="172">
        <v>434259.04</v>
      </c>
      <c r="O186" s="173"/>
      <c r="P186" s="172">
        <v>798825.41</v>
      </c>
      <c r="Q186" s="172">
        <v>345094.89</v>
      </c>
      <c r="R186" s="172">
        <v>453730.51999999996</v>
      </c>
      <c r="S186" s="173">
        <v>0.43200289535106301</v>
      </c>
      <c r="T186" s="165"/>
      <c r="U186" s="168">
        <v>10.611756550966209</v>
      </c>
      <c r="V186" s="168">
        <v>26.505149405163031</v>
      </c>
      <c r="W186" s="134" t="s">
        <v>9</v>
      </c>
      <c r="Z186"/>
      <c r="AF186" s="172">
        <v>177210.03</v>
      </c>
      <c r="AG186" s="172">
        <v>162778.99000000002</v>
      </c>
      <c r="AH186" s="172">
        <v>14431.04</v>
      </c>
      <c r="AI186" s="172">
        <v>0</v>
      </c>
      <c r="AJ186" s="172">
        <v>0</v>
      </c>
      <c r="AK186" s="172">
        <v>0</v>
      </c>
      <c r="AL186" s="172">
        <v>461253.51</v>
      </c>
      <c r="AM186" s="172">
        <v>26994.469999999998</v>
      </c>
      <c r="AN186" s="172">
        <v>434259.04</v>
      </c>
      <c r="AO186" s="173"/>
      <c r="AP186" s="172">
        <v>638463.54</v>
      </c>
      <c r="AQ186" s="172">
        <v>189773.46000000002</v>
      </c>
      <c r="AR186" s="172">
        <v>448690.07999999996</v>
      </c>
      <c r="AS186" s="173">
        <v>0.29723460794644596</v>
      </c>
      <c r="AT186" s="165"/>
    </row>
    <row r="187" spans="1:46" s="134" customFormat="1" ht="15" customHeight="1" x14ac:dyDescent="0.2">
      <c r="A187" s="686" t="s">
        <v>10</v>
      </c>
      <c r="B187" s="686"/>
      <c r="C187" s="686"/>
      <c r="D187" s="164"/>
      <c r="E187" s="171"/>
      <c r="F187" s="172">
        <v>123305.58</v>
      </c>
      <c r="G187" s="172">
        <v>117945.45999999998</v>
      </c>
      <c r="H187" s="172">
        <v>5360.12</v>
      </c>
      <c r="I187" s="172">
        <v>125668.46000000002</v>
      </c>
      <c r="J187" s="172">
        <v>122982.06000000001</v>
      </c>
      <c r="K187" s="172">
        <v>2686.4</v>
      </c>
      <c r="L187" s="172">
        <v>223405.58000000002</v>
      </c>
      <c r="M187" s="172">
        <v>15391.97</v>
      </c>
      <c r="N187" s="172">
        <v>208013.61000000002</v>
      </c>
      <c r="O187" s="173"/>
      <c r="P187" s="172">
        <v>472379.62000000005</v>
      </c>
      <c r="Q187" s="172">
        <v>256319.49</v>
      </c>
      <c r="R187" s="172">
        <v>216060.13</v>
      </c>
      <c r="S187" s="173">
        <v>0.54261335406468203</v>
      </c>
      <c r="T187" s="165"/>
      <c r="U187" s="168">
        <v>11.654408229377539</v>
      </c>
      <c r="V187" s="168">
        <v>26.108698084966498</v>
      </c>
      <c r="W187" s="134" t="s">
        <v>10</v>
      </c>
      <c r="Z187"/>
      <c r="AF187" s="172">
        <v>123305.58</v>
      </c>
      <c r="AG187" s="172">
        <v>117945.45999999998</v>
      </c>
      <c r="AH187" s="172">
        <v>5360.12</v>
      </c>
      <c r="AI187" s="172">
        <v>0</v>
      </c>
      <c r="AJ187" s="172">
        <v>0</v>
      </c>
      <c r="AK187" s="172">
        <v>0</v>
      </c>
      <c r="AL187" s="172">
        <v>223405.58000000002</v>
      </c>
      <c r="AM187" s="172">
        <v>15391.97</v>
      </c>
      <c r="AN187" s="172">
        <v>208013.61000000002</v>
      </c>
      <c r="AO187" s="173"/>
      <c r="AP187" s="172">
        <v>346711.16000000003</v>
      </c>
      <c r="AQ187" s="172">
        <v>133337.42999999996</v>
      </c>
      <c r="AR187" s="172">
        <v>213373.73</v>
      </c>
      <c r="AS187" s="173">
        <v>0.38457784283609431</v>
      </c>
      <c r="AT187" s="165"/>
    </row>
    <row r="188" spans="1:46" s="134" customFormat="1" ht="15" customHeight="1" x14ac:dyDescent="0.2">
      <c r="A188" s="686" t="s">
        <v>11</v>
      </c>
      <c r="B188" s="686"/>
      <c r="C188" s="686"/>
      <c r="D188" s="164"/>
      <c r="E188" s="171"/>
      <c r="F188" s="172">
        <v>119481.72</v>
      </c>
      <c r="G188" s="172">
        <v>106348.29000000002</v>
      </c>
      <c r="H188" s="172">
        <v>13133.43</v>
      </c>
      <c r="I188" s="172">
        <v>106580.35</v>
      </c>
      <c r="J188" s="172">
        <v>94588.87999999999</v>
      </c>
      <c r="K188" s="172">
        <v>11991.469999999998</v>
      </c>
      <c r="L188" s="172">
        <v>335072.77000000008</v>
      </c>
      <c r="M188" s="172">
        <v>3346.0899999999992</v>
      </c>
      <c r="N188" s="172">
        <v>331726.67999999993</v>
      </c>
      <c r="O188" s="173"/>
      <c r="P188" s="172">
        <v>561134.84000000008</v>
      </c>
      <c r="Q188" s="172">
        <v>204283.26</v>
      </c>
      <c r="R188" s="172">
        <v>356851.57999999996</v>
      </c>
      <c r="S188" s="173">
        <v>0.36405378072764111</v>
      </c>
      <c r="T188" s="165"/>
      <c r="U188" s="168">
        <v>9.7316136115815102</v>
      </c>
      <c r="V188" s="168">
        <v>21.768723581514152</v>
      </c>
      <c r="W188" s="134" t="s">
        <v>11</v>
      </c>
      <c r="Z188"/>
      <c r="AF188" s="172">
        <v>119481.72</v>
      </c>
      <c r="AG188" s="172">
        <v>106348.29000000002</v>
      </c>
      <c r="AH188" s="172">
        <v>13133.43</v>
      </c>
      <c r="AI188" s="172">
        <v>0</v>
      </c>
      <c r="AJ188" s="172">
        <v>0</v>
      </c>
      <c r="AK188" s="172">
        <v>0</v>
      </c>
      <c r="AL188" s="172">
        <v>335072.77000000008</v>
      </c>
      <c r="AM188" s="172">
        <v>3346.0899999999992</v>
      </c>
      <c r="AN188" s="172">
        <v>331726.67999999993</v>
      </c>
      <c r="AO188" s="173"/>
      <c r="AP188" s="172">
        <v>454554.49000000011</v>
      </c>
      <c r="AQ188" s="172">
        <v>109694.38000000002</v>
      </c>
      <c r="AR188" s="172">
        <v>344860.10999999993</v>
      </c>
      <c r="AS188" s="173">
        <v>0.24132283898460666</v>
      </c>
      <c r="AT188" s="165"/>
    </row>
    <row r="189" spans="1:46" s="134" customFormat="1" ht="15" customHeight="1" x14ac:dyDescent="0.2">
      <c r="A189" s="95"/>
      <c r="B189" s="95"/>
      <c r="C189" s="95"/>
      <c r="D189" s="135"/>
      <c r="E189" s="146"/>
      <c r="F189" s="151"/>
      <c r="G189" s="151"/>
      <c r="H189" s="151"/>
      <c r="I189" s="151"/>
      <c r="J189" s="151"/>
      <c r="K189" s="151"/>
      <c r="L189" s="151"/>
      <c r="M189" s="151"/>
      <c r="N189" s="151"/>
      <c r="O189" s="152"/>
      <c r="P189" s="151"/>
      <c r="Q189" s="151"/>
      <c r="R189" s="151"/>
      <c r="S189" s="152"/>
      <c r="U189" s="142"/>
      <c r="V189" s="142"/>
      <c r="Z189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2"/>
      <c r="AP189" s="151"/>
      <c r="AQ189" s="151"/>
      <c r="AR189" s="151"/>
      <c r="AS189" s="152"/>
    </row>
    <row r="190" spans="1:46" s="134" customFormat="1" ht="15" customHeight="1" x14ac:dyDescent="0.2">
      <c r="A190" s="95"/>
      <c r="B190" s="95"/>
      <c r="C190" s="95"/>
      <c r="D190" s="135"/>
      <c r="E190" s="146"/>
      <c r="F190" s="151"/>
      <c r="G190" s="151"/>
      <c r="H190" s="151"/>
      <c r="I190" s="151"/>
      <c r="J190" s="151"/>
      <c r="K190" s="151"/>
      <c r="L190" s="151"/>
      <c r="M190" s="151"/>
      <c r="N190" s="151"/>
      <c r="O190" s="152"/>
      <c r="P190" s="151"/>
      <c r="Q190" s="151"/>
      <c r="R190" s="151"/>
      <c r="S190" s="152"/>
      <c r="W190" s="149"/>
      <c r="Z190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2"/>
      <c r="AP190" s="151"/>
      <c r="AQ190" s="151"/>
      <c r="AR190" s="151"/>
      <c r="AS190" s="152"/>
    </row>
    <row r="191" spans="1:46" s="134" customFormat="1" ht="15" customHeight="1" x14ac:dyDescent="0.25">
      <c r="A191" s="687" t="s">
        <v>7</v>
      </c>
      <c r="B191" s="688"/>
      <c r="C191" s="689"/>
      <c r="D191" s="174"/>
      <c r="E191" s="175"/>
      <c r="F191" s="176">
        <v>810398.62600000005</v>
      </c>
      <c r="G191" s="176">
        <v>743021.56599999999</v>
      </c>
      <c r="H191" s="176">
        <v>67377.060000000027</v>
      </c>
      <c r="I191" s="176">
        <v>745642.34000000008</v>
      </c>
      <c r="J191" s="176">
        <v>723558.22</v>
      </c>
      <c r="K191" s="176">
        <v>22084.120000000003</v>
      </c>
      <c r="L191" s="176">
        <v>2151078.5799999996</v>
      </c>
      <c r="M191" s="176">
        <v>295534.08999999997</v>
      </c>
      <c r="N191" s="176">
        <v>1855544.49</v>
      </c>
      <c r="O191" s="177"/>
      <c r="P191" s="176">
        <v>3707119.5460000006</v>
      </c>
      <c r="Q191" s="176">
        <v>1762113.8759999995</v>
      </c>
      <c r="R191" s="176">
        <v>1945005.6699999997</v>
      </c>
      <c r="S191" s="178">
        <v>0.47533235821901904</v>
      </c>
      <c r="W191" s="153"/>
      <c r="Z191"/>
      <c r="AF191" s="176">
        <v>810398.62600000005</v>
      </c>
      <c r="AG191" s="176">
        <v>743021.56599999999</v>
      </c>
      <c r="AH191" s="176">
        <v>67377.060000000027</v>
      </c>
      <c r="AI191" s="176">
        <v>745642.34000000008</v>
      </c>
      <c r="AJ191" s="176">
        <v>723558.22</v>
      </c>
      <c r="AK191" s="176">
        <v>22084.120000000003</v>
      </c>
      <c r="AL191" s="176">
        <v>2151078.5799999996</v>
      </c>
      <c r="AM191" s="176">
        <v>295534.08999999997</v>
      </c>
      <c r="AN191" s="176">
        <v>1855544.49</v>
      </c>
      <c r="AO191" s="177"/>
      <c r="AP191" s="176">
        <v>3707119.5460000006</v>
      </c>
      <c r="AQ191" s="176">
        <v>1762113.8759999995</v>
      </c>
      <c r="AR191" s="176">
        <v>1945005.6699999997</v>
      </c>
      <c r="AS191" s="178">
        <v>0.47533235821901904</v>
      </c>
    </row>
    <row r="192" spans="1:46" s="134" customFormat="1" ht="15" customHeight="1" x14ac:dyDescent="0.2">
      <c r="A192" s="175"/>
      <c r="B192" s="175" t="s">
        <v>228</v>
      </c>
      <c r="C192" s="175"/>
      <c r="D192" s="174"/>
      <c r="E192" s="175"/>
      <c r="F192" s="179"/>
      <c r="G192" s="180"/>
      <c r="H192" s="180"/>
      <c r="I192" s="180"/>
      <c r="J192" s="180"/>
      <c r="K192" s="180"/>
      <c r="L192" s="180"/>
      <c r="M192" s="180"/>
      <c r="N192" s="180"/>
      <c r="O192" s="180"/>
      <c r="P192" s="179"/>
      <c r="Q192" s="180"/>
      <c r="R192" s="179"/>
      <c r="S192" s="180"/>
      <c r="Z192"/>
      <c r="AF192" s="179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79"/>
      <c r="AQ192" s="180"/>
      <c r="AR192" s="179"/>
      <c r="AS192" s="180"/>
    </row>
    <row r="193" spans="1:46" s="134" customFormat="1" ht="15" customHeight="1" x14ac:dyDescent="0.2">
      <c r="A193" s="690" t="s">
        <v>8</v>
      </c>
      <c r="B193" s="690"/>
      <c r="C193" s="690"/>
      <c r="D193" s="174"/>
      <c r="E193" s="181"/>
      <c r="F193" s="182">
        <v>390401.29599999997</v>
      </c>
      <c r="G193" s="182">
        <v>355948.826</v>
      </c>
      <c r="H193" s="182">
        <v>34452.470000000008</v>
      </c>
      <c r="I193" s="182">
        <v>340871.73000000004</v>
      </c>
      <c r="J193" s="182">
        <v>334510.23000000004</v>
      </c>
      <c r="K193" s="182">
        <v>6361.5</v>
      </c>
      <c r="L193" s="182">
        <v>1131346.7200000002</v>
      </c>
      <c r="M193" s="182">
        <v>249801.56</v>
      </c>
      <c r="N193" s="182">
        <v>881545.15999999992</v>
      </c>
      <c r="O193" s="183"/>
      <c r="P193" s="182">
        <v>1862619.746</v>
      </c>
      <c r="Q193" s="182">
        <v>940260.61600000004</v>
      </c>
      <c r="R193" s="182">
        <v>922359.13</v>
      </c>
      <c r="S193" s="183">
        <v>0.50480545909556784</v>
      </c>
      <c r="V193" s="153"/>
      <c r="AF193" s="182">
        <v>390401.29599999997</v>
      </c>
      <c r="AG193" s="182">
        <v>355948.826</v>
      </c>
      <c r="AH193" s="182">
        <v>34452.470000000008</v>
      </c>
      <c r="AI193" s="182">
        <v>340871.73000000004</v>
      </c>
      <c r="AJ193" s="182">
        <v>334510.23000000004</v>
      </c>
      <c r="AK193" s="182">
        <v>6361.5</v>
      </c>
      <c r="AL193" s="182">
        <v>1131346.7200000002</v>
      </c>
      <c r="AM193" s="182">
        <v>249801.56</v>
      </c>
      <c r="AN193" s="182">
        <v>881545.15999999992</v>
      </c>
      <c r="AO193" s="183"/>
      <c r="AP193" s="182">
        <v>1862619.746</v>
      </c>
      <c r="AQ193" s="182">
        <v>940260.61600000004</v>
      </c>
      <c r="AR193" s="182">
        <v>922359.13</v>
      </c>
      <c r="AS193" s="183">
        <v>0.50480545909556784</v>
      </c>
    </row>
    <row r="194" spans="1:46" s="134" customFormat="1" ht="15" customHeight="1" x14ac:dyDescent="0.2">
      <c r="A194" s="690" t="s">
        <v>9</v>
      </c>
      <c r="B194" s="690"/>
      <c r="C194" s="690"/>
      <c r="D194" s="174"/>
      <c r="E194" s="181"/>
      <c r="F194" s="182">
        <v>177210.03</v>
      </c>
      <c r="G194" s="182">
        <v>162778.99000000002</v>
      </c>
      <c r="H194" s="182">
        <v>14431.04</v>
      </c>
      <c r="I194" s="182">
        <v>170558.91999999998</v>
      </c>
      <c r="J194" s="182">
        <v>169458.96999999997</v>
      </c>
      <c r="K194" s="182">
        <v>1099.9499999999998</v>
      </c>
      <c r="L194" s="182">
        <v>461253.51</v>
      </c>
      <c r="M194" s="182">
        <v>26994.469999999998</v>
      </c>
      <c r="N194" s="182">
        <v>434259.04</v>
      </c>
      <c r="O194" s="183"/>
      <c r="P194" s="182">
        <v>809022.46000000008</v>
      </c>
      <c r="Q194" s="182">
        <v>359232.43</v>
      </c>
      <c r="R194" s="182">
        <v>449790.03</v>
      </c>
      <c r="S194" s="183">
        <v>0.44403270336895218</v>
      </c>
      <c r="AF194" s="182">
        <v>177210.03</v>
      </c>
      <c r="AG194" s="182">
        <v>162778.99000000002</v>
      </c>
      <c r="AH194" s="182">
        <v>14431.04</v>
      </c>
      <c r="AI194" s="182">
        <v>170558.91999999998</v>
      </c>
      <c r="AJ194" s="182">
        <v>169458.96999999997</v>
      </c>
      <c r="AK194" s="182">
        <v>1099.9499999999998</v>
      </c>
      <c r="AL194" s="182">
        <v>461253.51</v>
      </c>
      <c r="AM194" s="182">
        <v>26994.469999999998</v>
      </c>
      <c r="AN194" s="182">
        <v>434259.04</v>
      </c>
      <c r="AO194" s="183"/>
      <c r="AP194" s="182">
        <v>809022.46000000008</v>
      </c>
      <c r="AQ194" s="182">
        <v>359232.43</v>
      </c>
      <c r="AR194" s="182">
        <v>449790.03</v>
      </c>
      <c r="AS194" s="183">
        <v>0.44403270336895218</v>
      </c>
    </row>
    <row r="195" spans="1:46" s="134" customFormat="1" ht="15" customHeight="1" x14ac:dyDescent="0.2">
      <c r="A195" s="690" t="s">
        <v>10</v>
      </c>
      <c r="B195" s="690"/>
      <c r="C195" s="690"/>
      <c r="D195" s="174"/>
      <c r="E195" s="181"/>
      <c r="F195" s="182">
        <v>123305.58</v>
      </c>
      <c r="G195" s="182">
        <v>117945.45999999998</v>
      </c>
      <c r="H195" s="182">
        <v>5360.12</v>
      </c>
      <c r="I195" s="182">
        <v>129067.54999999999</v>
      </c>
      <c r="J195" s="182">
        <v>127242.59</v>
      </c>
      <c r="K195" s="182">
        <v>1824.96</v>
      </c>
      <c r="L195" s="182">
        <v>223405.58000000002</v>
      </c>
      <c r="M195" s="182">
        <v>15391.97</v>
      </c>
      <c r="N195" s="182">
        <v>208013.61000000002</v>
      </c>
      <c r="O195"/>
      <c r="P195" s="182">
        <v>475778.71000000008</v>
      </c>
      <c r="Q195" s="182">
        <v>260580.02</v>
      </c>
      <c r="R195" s="182">
        <v>215198.69</v>
      </c>
      <c r="S195" s="183">
        <v>0.54769163588677594</v>
      </c>
      <c r="AF195" s="182">
        <v>123305.58</v>
      </c>
      <c r="AG195" s="182">
        <v>117945.45999999998</v>
      </c>
      <c r="AH195" s="182">
        <v>5360.12</v>
      </c>
      <c r="AI195" s="182">
        <v>129067.54999999999</v>
      </c>
      <c r="AJ195" s="182">
        <v>127242.59</v>
      </c>
      <c r="AK195" s="182">
        <v>1824.96</v>
      </c>
      <c r="AL195" s="182">
        <v>223405.58000000002</v>
      </c>
      <c r="AM195" s="182">
        <v>15391.97</v>
      </c>
      <c r="AN195" s="182">
        <v>208013.61000000002</v>
      </c>
      <c r="AO195" s="183"/>
      <c r="AP195" s="182">
        <v>475778.71000000008</v>
      </c>
      <c r="AQ195" s="182">
        <v>260580.02</v>
      </c>
      <c r="AR195" s="182">
        <v>215198.69</v>
      </c>
      <c r="AS195" s="183">
        <v>0.54769163588677594</v>
      </c>
    </row>
    <row r="196" spans="1:46" s="134" customFormat="1" ht="15" customHeight="1" x14ac:dyDescent="0.2">
      <c r="A196" s="690" t="s">
        <v>11</v>
      </c>
      <c r="B196" s="690"/>
      <c r="C196" s="690"/>
      <c r="D196" s="174"/>
      <c r="E196" s="181"/>
      <c r="F196" s="182">
        <v>119481.72</v>
      </c>
      <c r="G196" s="182">
        <v>106348.29000000002</v>
      </c>
      <c r="H196" s="182">
        <v>13133.43</v>
      </c>
      <c r="I196" s="182">
        <v>105144.14000000001</v>
      </c>
      <c r="J196" s="182">
        <v>92346.430000000008</v>
      </c>
      <c r="K196" s="182">
        <v>12797.71</v>
      </c>
      <c r="L196" s="182">
        <v>335072.77000000008</v>
      </c>
      <c r="M196" s="182">
        <v>3346.0899999999992</v>
      </c>
      <c r="N196" s="182">
        <v>331726.67999999993</v>
      </c>
      <c r="O196"/>
      <c r="P196" s="182">
        <v>559698.62999999989</v>
      </c>
      <c r="Q196" s="182">
        <v>202040.81000000003</v>
      </c>
      <c r="R196" s="182">
        <v>357657.81999999995</v>
      </c>
      <c r="S196" s="183">
        <v>0.36098142673674233</v>
      </c>
      <c r="AF196" s="182">
        <v>119481.72</v>
      </c>
      <c r="AG196" s="182">
        <v>106348.29000000002</v>
      </c>
      <c r="AH196" s="182">
        <v>13133.43</v>
      </c>
      <c r="AI196" s="182">
        <v>105144.14000000001</v>
      </c>
      <c r="AJ196" s="182">
        <v>92346.430000000008</v>
      </c>
      <c r="AK196" s="182">
        <v>12797.71</v>
      </c>
      <c r="AL196" s="182">
        <v>335072.77000000008</v>
      </c>
      <c r="AM196" s="182">
        <v>3346.0899999999992</v>
      </c>
      <c r="AN196" s="182">
        <v>331726.67999999993</v>
      </c>
      <c r="AO196" s="183"/>
      <c r="AP196" s="182">
        <v>559698.62999999989</v>
      </c>
      <c r="AQ196" s="182">
        <v>202040.81000000003</v>
      </c>
      <c r="AR196" s="182">
        <v>357657.81999999995</v>
      </c>
      <c r="AS196" s="183">
        <v>0.36098142673674233</v>
      </c>
    </row>
    <row r="197" spans="1:46" s="184" customFormat="1" x14ac:dyDescent="0.2">
      <c r="D197" s="135"/>
      <c r="E197" s="185"/>
      <c r="F197" s="186"/>
      <c r="G197" s="186"/>
      <c r="H197" s="186"/>
      <c r="I197" s="186"/>
      <c r="J197" s="186"/>
      <c r="K197" s="186"/>
      <c r="L197" s="186"/>
      <c r="M197" s="186"/>
      <c r="N197" s="186"/>
      <c r="O197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7"/>
    </row>
    <row r="198" spans="1:46" s="184" customFormat="1" ht="15.75" x14ac:dyDescent="0.25">
      <c r="A198" s="691" t="s">
        <v>7</v>
      </c>
      <c r="B198" s="692"/>
      <c r="C198" s="693"/>
      <c r="D198" s="188"/>
      <c r="E198" s="189"/>
      <c r="F198" s="190">
        <v>810826.45399999979</v>
      </c>
      <c r="G198" s="190">
        <v>756589.84400000004</v>
      </c>
      <c r="H198" s="190">
        <v>54236.3</v>
      </c>
      <c r="I198" s="190">
        <v>753410.64599999995</v>
      </c>
      <c r="J198" s="190">
        <v>725978.2758050001</v>
      </c>
      <c r="K198" s="190">
        <v>27432.34019499999</v>
      </c>
      <c r="L198" s="190">
        <v>2127203.2800000003</v>
      </c>
      <c r="M198" s="190">
        <v>290906.63299999991</v>
      </c>
      <c r="N198" s="190">
        <v>1836296.6470000006</v>
      </c>
      <c r="O198"/>
      <c r="P198" s="190">
        <v>3691440.3800000004</v>
      </c>
      <c r="Q198" s="190">
        <v>1773474.7528050002</v>
      </c>
      <c r="R198" s="190">
        <v>1917965.2871949996</v>
      </c>
      <c r="S198" s="192">
        <v>0.48042893023914962</v>
      </c>
      <c r="X198" s="150"/>
      <c r="AF198" s="190">
        <v>810826.45399999979</v>
      </c>
      <c r="AG198" s="190">
        <v>756589.84400000004</v>
      </c>
      <c r="AH198" s="190">
        <v>54236.3</v>
      </c>
      <c r="AI198" s="190">
        <v>753410.64599999995</v>
      </c>
      <c r="AJ198" s="190">
        <v>725978.2758050001</v>
      </c>
      <c r="AK198" s="190">
        <v>27432.34019499999</v>
      </c>
      <c r="AL198" s="190">
        <v>2127203.2800000003</v>
      </c>
      <c r="AM198" s="190">
        <v>290906.63299999991</v>
      </c>
      <c r="AN198" s="190">
        <v>1836296.6470000006</v>
      </c>
      <c r="AO198" s="191"/>
      <c r="AP198" s="190">
        <v>3691440.3800000004</v>
      </c>
      <c r="AQ198" s="190">
        <v>1773474.7528050002</v>
      </c>
      <c r="AR198" s="190">
        <v>1917965.2871949996</v>
      </c>
      <c r="AS198" s="192">
        <v>0.48042893023914962</v>
      </c>
    </row>
    <row r="199" spans="1:46" s="184" customFormat="1" x14ac:dyDescent="0.2">
      <c r="A199" s="189"/>
      <c r="B199" s="189" t="s">
        <v>229</v>
      </c>
      <c r="C199" s="189"/>
      <c r="D199" s="188"/>
      <c r="E199" s="193"/>
      <c r="F199" s="193"/>
      <c r="G199" s="193"/>
      <c r="H199" s="193"/>
      <c r="I199" s="193"/>
      <c r="J199" s="193"/>
      <c r="K199" s="193"/>
      <c r="L199" s="193"/>
      <c r="M199" s="193"/>
      <c r="N199" s="193"/>
      <c r="O199"/>
      <c r="P199" s="193"/>
      <c r="Q199" s="193"/>
      <c r="R199" s="193"/>
      <c r="S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</row>
    <row r="200" spans="1:46" s="184" customFormat="1" ht="15.75" x14ac:dyDescent="0.25">
      <c r="A200" s="678" t="s">
        <v>8</v>
      </c>
      <c r="B200" s="678"/>
      <c r="C200" s="678"/>
      <c r="D200" s="188"/>
      <c r="E200" s="194"/>
      <c r="F200" s="195">
        <v>384319.01399999997</v>
      </c>
      <c r="G200" s="195">
        <v>355570.984</v>
      </c>
      <c r="H200" s="195">
        <v>28748.029999999995</v>
      </c>
      <c r="I200" s="195">
        <v>326139.74999999994</v>
      </c>
      <c r="J200" s="195">
        <v>310678.23340000003</v>
      </c>
      <c r="K200" s="195">
        <v>15461.516599999999</v>
      </c>
      <c r="L200" s="195">
        <v>1092206.9299999997</v>
      </c>
      <c r="M200" s="195">
        <v>239205.09300000002</v>
      </c>
      <c r="N200" s="195">
        <v>853001.83699999994</v>
      </c>
      <c r="O200"/>
      <c r="P200" s="195">
        <v>1802665.6939999999</v>
      </c>
      <c r="Q200" s="195">
        <v>905454.31039999996</v>
      </c>
      <c r="R200" s="195">
        <v>897211.38359999983</v>
      </c>
      <c r="S200" s="196">
        <v>0.50228631598954698</v>
      </c>
      <c r="AF200" s="195">
        <v>384319.01399999997</v>
      </c>
      <c r="AG200" s="195">
        <v>355570.984</v>
      </c>
      <c r="AH200" s="195">
        <v>28748.029999999995</v>
      </c>
      <c r="AI200" s="195">
        <v>326139.74999999994</v>
      </c>
      <c r="AJ200" s="195">
        <v>310678.23340000003</v>
      </c>
      <c r="AK200" s="195">
        <v>15461.516599999999</v>
      </c>
      <c r="AL200" s="195">
        <v>1092206.9299999997</v>
      </c>
      <c r="AM200" s="195">
        <v>239205.09300000002</v>
      </c>
      <c r="AN200" s="195">
        <v>853001.83699999994</v>
      </c>
      <c r="AO200" s="191"/>
      <c r="AP200" s="195">
        <v>1802665.6939999999</v>
      </c>
      <c r="AQ200" s="195">
        <v>905454.31039999996</v>
      </c>
      <c r="AR200" s="195">
        <v>897211.38359999983</v>
      </c>
      <c r="AS200" s="196">
        <v>0.50228631598954698</v>
      </c>
    </row>
    <row r="201" spans="1:46" ht="15.75" x14ac:dyDescent="0.25">
      <c r="A201" s="678" t="s">
        <v>9</v>
      </c>
      <c r="B201" s="678"/>
      <c r="C201" s="678"/>
      <c r="D201" s="188"/>
      <c r="E201" s="194"/>
      <c r="F201" s="195">
        <v>170038.95</v>
      </c>
      <c r="G201" s="195">
        <v>161953.36000000002</v>
      </c>
      <c r="H201" s="195">
        <v>8085.59</v>
      </c>
      <c r="I201" s="195">
        <v>187109.53</v>
      </c>
      <c r="J201" s="195">
        <v>183328.3904</v>
      </c>
      <c r="K201" s="195">
        <v>3781.1095999999998</v>
      </c>
      <c r="L201" s="195">
        <v>459292.18999999994</v>
      </c>
      <c r="M201" s="195">
        <v>22425.309999999998</v>
      </c>
      <c r="N201" s="195">
        <v>436866.88</v>
      </c>
      <c r="O201"/>
      <c r="P201" s="195">
        <v>816440.67</v>
      </c>
      <c r="Q201" s="195">
        <v>367707.06040000002</v>
      </c>
      <c r="R201" s="195">
        <v>448733.57959999994</v>
      </c>
      <c r="S201" s="196">
        <v>0.4503781767755396</v>
      </c>
      <c r="AF201" s="195">
        <v>170038.95</v>
      </c>
      <c r="AG201" s="195">
        <v>161953.36000000002</v>
      </c>
      <c r="AH201" s="195">
        <v>8085.59</v>
      </c>
      <c r="AI201" s="195">
        <v>187109.53</v>
      </c>
      <c r="AJ201" s="195">
        <v>183328.3904</v>
      </c>
      <c r="AK201" s="195">
        <v>3781.1095999999998</v>
      </c>
      <c r="AL201" s="195">
        <v>459292.18999999994</v>
      </c>
      <c r="AM201" s="195">
        <v>22425.309999999998</v>
      </c>
      <c r="AN201" s="195">
        <v>436866.88</v>
      </c>
      <c r="AO201" s="191"/>
      <c r="AP201" s="195">
        <v>816440.67</v>
      </c>
      <c r="AQ201" s="195">
        <v>367707.06040000002</v>
      </c>
      <c r="AR201" s="195">
        <v>448733.57959999994</v>
      </c>
      <c r="AS201" s="196">
        <v>0.4503781767755396</v>
      </c>
    </row>
    <row r="202" spans="1:46" ht="15.75" x14ac:dyDescent="0.25">
      <c r="A202" s="678" t="s">
        <v>10</v>
      </c>
      <c r="B202" s="678"/>
      <c r="C202" s="678"/>
      <c r="D202" s="188"/>
      <c r="E202" s="194"/>
      <c r="F202" s="195">
        <v>123318.63000000002</v>
      </c>
      <c r="G202" s="195">
        <v>116752.89</v>
      </c>
      <c r="H202" s="195">
        <v>6565.73</v>
      </c>
      <c r="I202" s="195">
        <v>122302.56000000001</v>
      </c>
      <c r="J202" s="195">
        <v>118111.38041199998</v>
      </c>
      <c r="K202" s="195">
        <v>4191.179588</v>
      </c>
      <c r="L202" s="195">
        <v>218838.86</v>
      </c>
      <c r="M202" s="195">
        <v>23012.85</v>
      </c>
      <c r="N202" s="195">
        <v>195826.01</v>
      </c>
      <c r="O202"/>
      <c r="P202" s="195">
        <v>464460.05</v>
      </c>
      <c r="Q202" s="195">
        <v>257877.12041199993</v>
      </c>
      <c r="R202" s="195">
        <v>206582.91958800002</v>
      </c>
      <c r="S202" s="196">
        <v>0.55521916343935274</v>
      </c>
      <c r="AF202" s="195">
        <v>123318.63000000002</v>
      </c>
      <c r="AG202" s="195">
        <v>116752.89</v>
      </c>
      <c r="AH202" s="195">
        <v>6565.73</v>
      </c>
      <c r="AI202" s="195">
        <v>122302.56000000001</v>
      </c>
      <c r="AJ202" s="195">
        <v>118111.38041199998</v>
      </c>
      <c r="AK202" s="195">
        <v>4191.179588</v>
      </c>
      <c r="AL202" s="195">
        <v>218838.86</v>
      </c>
      <c r="AM202" s="195">
        <v>23012.85</v>
      </c>
      <c r="AN202" s="195">
        <v>195826.01</v>
      </c>
      <c r="AO202" s="191"/>
      <c r="AP202" s="195">
        <v>464460.05</v>
      </c>
      <c r="AQ202" s="195">
        <v>257877.12041199993</v>
      </c>
      <c r="AR202" s="195">
        <v>206582.91958800002</v>
      </c>
      <c r="AS202" s="196">
        <v>0.55521916343935274</v>
      </c>
    </row>
    <row r="203" spans="1:46" ht="15.75" x14ac:dyDescent="0.25">
      <c r="A203" s="678" t="s">
        <v>11</v>
      </c>
      <c r="B203" s="678"/>
      <c r="C203" s="678"/>
      <c r="D203" s="188"/>
      <c r="E203" s="194"/>
      <c r="F203" s="195">
        <v>133149.85999999999</v>
      </c>
      <c r="G203" s="195">
        <v>122312.61</v>
      </c>
      <c r="H203" s="195">
        <v>10836.949999999997</v>
      </c>
      <c r="I203" s="195">
        <v>117858.806</v>
      </c>
      <c r="J203" s="195">
        <v>113860.27159300001</v>
      </c>
      <c r="K203" s="195">
        <v>3998.5344069999996</v>
      </c>
      <c r="L203" s="195">
        <v>356865.30000000005</v>
      </c>
      <c r="M203" s="195">
        <v>6263.38</v>
      </c>
      <c r="N203" s="195">
        <v>350601.92000000004</v>
      </c>
      <c r="O203"/>
      <c r="P203" s="195">
        <v>607873.96600000001</v>
      </c>
      <c r="Q203" s="195">
        <v>242436.261593</v>
      </c>
      <c r="R203" s="195">
        <v>365437.40440699999</v>
      </c>
      <c r="S203" s="196">
        <v>0.3988265251566967</v>
      </c>
      <c r="AF203" s="195">
        <v>133149.85999999999</v>
      </c>
      <c r="AG203" s="195">
        <v>122312.61</v>
      </c>
      <c r="AH203" s="195">
        <v>10836.949999999997</v>
      </c>
      <c r="AI203" s="195">
        <v>117858.806</v>
      </c>
      <c r="AJ203" s="195">
        <v>113860.27159300001</v>
      </c>
      <c r="AK203" s="195">
        <v>3998.5344069999996</v>
      </c>
      <c r="AL203" s="195">
        <v>356865.30000000005</v>
      </c>
      <c r="AM203" s="195">
        <v>6263.38</v>
      </c>
      <c r="AN203" s="195">
        <v>350601.92000000004</v>
      </c>
      <c r="AO203" s="191"/>
      <c r="AP203" s="195">
        <v>607873.96600000001</v>
      </c>
      <c r="AQ203" s="195">
        <v>242436.261593</v>
      </c>
      <c r="AR203" s="195">
        <v>365437.40440699999</v>
      </c>
      <c r="AS203" s="196">
        <v>0.3988265251566967</v>
      </c>
    </row>
    <row r="204" spans="1:46" x14ac:dyDescent="0.2">
      <c r="A204" s="184"/>
      <c r="B204" s="184"/>
      <c r="C204" s="184"/>
      <c r="D204" s="184"/>
      <c r="E204" s="184"/>
      <c r="F204" s="184"/>
      <c r="G204" s="184"/>
      <c r="H204" s="184"/>
      <c r="I204" s="184"/>
      <c r="J204" s="184"/>
      <c r="K204" s="184"/>
      <c r="L204" s="184"/>
      <c r="M204" s="184"/>
      <c r="N204" s="184"/>
      <c r="O204"/>
      <c r="P204" s="184"/>
      <c r="Q204" s="184"/>
      <c r="R204" s="184"/>
      <c r="S204" s="184"/>
      <c r="T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84"/>
      <c r="AS204" s="184"/>
      <c r="AT204" s="184"/>
    </row>
    <row r="205" spans="1:46" s="184" customFormat="1" ht="15.75" x14ac:dyDescent="0.25">
      <c r="A205" s="679" t="s">
        <v>7</v>
      </c>
      <c r="B205" s="680"/>
      <c r="C205" s="681"/>
      <c r="D205" s="135"/>
      <c r="E205" s="197"/>
      <c r="F205" s="198">
        <v>783766.02854000009</v>
      </c>
      <c r="G205" s="198">
        <v>732227.93373999989</v>
      </c>
      <c r="H205" s="198">
        <v>51537.83479999999</v>
      </c>
      <c r="I205" s="198">
        <v>668256.89999999991</v>
      </c>
      <c r="J205" s="198">
        <v>643114.76829999988</v>
      </c>
      <c r="K205" s="198">
        <v>25142.561700000002</v>
      </c>
      <c r="L205" s="198">
        <v>2071313.8699999996</v>
      </c>
      <c r="M205" s="198">
        <v>272947.21999999997</v>
      </c>
      <c r="N205" s="198">
        <v>1798366.6399999997</v>
      </c>
      <c r="O205"/>
      <c r="P205" s="198">
        <v>3523336.7985399985</v>
      </c>
      <c r="Q205" s="198">
        <v>1648289.9220400001</v>
      </c>
      <c r="R205" s="198">
        <v>1875047.0364999999</v>
      </c>
      <c r="S205" s="200">
        <v>0.46782070982343188</v>
      </c>
      <c r="AF205" s="198">
        <v>783766.02854000009</v>
      </c>
      <c r="AG205" s="198">
        <v>732227.93373999989</v>
      </c>
      <c r="AH205" s="198">
        <v>51537.83479999999</v>
      </c>
      <c r="AI205" s="198">
        <v>668256.89999999991</v>
      </c>
      <c r="AJ205" s="198">
        <v>643114.76829999988</v>
      </c>
      <c r="AK205" s="198">
        <v>25142.561700000002</v>
      </c>
      <c r="AL205" s="198">
        <v>2071313.8699999996</v>
      </c>
      <c r="AM205" s="198">
        <v>272947.21999999997</v>
      </c>
      <c r="AN205" s="198">
        <v>1798366.6399999997</v>
      </c>
      <c r="AO205" s="199"/>
      <c r="AP205" s="198">
        <v>3523336.7985399985</v>
      </c>
      <c r="AQ205" s="198">
        <v>1648289.9220400001</v>
      </c>
      <c r="AR205" s="198">
        <v>1875047.0364999999</v>
      </c>
      <c r="AS205" s="200">
        <v>0.46782070982343188</v>
      </c>
    </row>
    <row r="206" spans="1:46" s="184" customFormat="1" x14ac:dyDescent="0.2">
      <c r="A206" s="197"/>
      <c r="B206" s="197" t="s">
        <v>230</v>
      </c>
      <c r="C206" s="197"/>
      <c r="D206" s="135"/>
      <c r="O206"/>
    </row>
    <row r="207" spans="1:46" s="184" customFormat="1" ht="15.75" x14ac:dyDescent="0.25">
      <c r="A207" s="682" t="s">
        <v>8</v>
      </c>
      <c r="B207" s="682"/>
      <c r="C207" s="682"/>
      <c r="D207" s="135"/>
      <c r="E207" s="201"/>
      <c r="F207" s="202">
        <v>388848.38492599997</v>
      </c>
      <c r="G207" s="202">
        <v>361077.60492600006</v>
      </c>
      <c r="H207" s="202">
        <v>27770.78</v>
      </c>
      <c r="I207" s="202">
        <v>302376.85999999993</v>
      </c>
      <c r="J207" s="202">
        <v>288141.67549999995</v>
      </c>
      <c r="K207" s="202">
        <v>14235.404500000002</v>
      </c>
      <c r="L207" s="202">
        <v>1056264.5399999998</v>
      </c>
      <c r="M207" s="202">
        <v>227224.71</v>
      </c>
      <c r="N207" s="202">
        <v>829039.82</v>
      </c>
      <c r="O207"/>
      <c r="P207" s="202">
        <v>1747489.7849260001</v>
      </c>
      <c r="Q207" s="202">
        <v>876443.99042600009</v>
      </c>
      <c r="R207" s="202">
        <v>871046.00449999992</v>
      </c>
      <c r="S207" s="203">
        <v>0.50154455721932267</v>
      </c>
      <c r="AF207" s="202">
        <v>388848.38492599997</v>
      </c>
      <c r="AG207" s="202">
        <v>361077.60492600006</v>
      </c>
      <c r="AH207" s="202">
        <v>27770.78</v>
      </c>
      <c r="AI207" s="202">
        <v>302376.85999999993</v>
      </c>
      <c r="AJ207" s="202">
        <v>288141.67549999995</v>
      </c>
      <c r="AK207" s="202">
        <v>14235.404500000002</v>
      </c>
      <c r="AL207" s="202">
        <v>1056264.5399999998</v>
      </c>
      <c r="AM207" s="202">
        <v>227224.71</v>
      </c>
      <c r="AN207" s="202">
        <v>829039.82</v>
      </c>
      <c r="AO207" s="199"/>
      <c r="AP207" s="202">
        <v>1747489.7849260001</v>
      </c>
      <c r="AQ207" s="202">
        <v>876443.99042600009</v>
      </c>
      <c r="AR207" s="202">
        <v>871046.00449999992</v>
      </c>
      <c r="AS207" s="203">
        <v>0.50154455721932267</v>
      </c>
    </row>
    <row r="208" spans="1:46" ht="15.75" x14ac:dyDescent="0.25">
      <c r="A208" s="682" t="s">
        <v>9</v>
      </c>
      <c r="B208" s="682"/>
      <c r="C208" s="682"/>
      <c r="D208" s="135"/>
      <c r="E208" s="201"/>
      <c r="F208" s="202">
        <v>167150.26034000001</v>
      </c>
      <c r="G208" s="202">
        <v>158553.06034000003</v>
      </c>
      <c r="H208" s="202">
        <v>8597.2000000000007</v>
      </c>
      <c r="I208" s="202">
        <v>154225.84999999998</v>
      </c>
      <c r="J208" s="202">
        <v>153131.26</v>
      </c>
      <c r="K208" s="202">
        <v>1094.6100000000001</v>
      </c>
      <c r="L208" s="202">
        <v>421353.74000000005</v>
      </c>
      <c r="M208" s="202">
        <v>21954.73</v>
      </c>
      <c r="N208" s="202">
        <v>399399.01</v>
      </c>
      <c r="O208"/>
      <c r="P208" s="202">
        <v>742729.85034</v>
      </c>
      <c r="Q208" s="202">
        <v>333639.05034000002</v>
      </c>
      <c r="R208" s="202">
        <v>409090.81999999995</v>
      </c>
      <c r="S208" s="203">
        <v>0.44920646475602105</v>
      </c>
      <c r="AF208" s="202">
        <v>167150.26034000001</v>
      </c>
      <c r="AG208" s="202">
        <v>158553.06034000003</v>
      </c>
      <c r="AH208" s="202">
        <v>8597.2000000000007</v>
      </c>
      <c r="AI208" s="202">
        <v>154225.84999999998</v>
      </c>
      <c r="AJ208" s="202">
        <v>153131.26</v>
      </c>
      <c r="AK208" s="202">
        <v>1094.6100000000001</v>
      </c>
      <c r="AL208" s="202">
        <v>421353.74000000005</v>
      </c>
      <c r="AM208" s="202">
        <v>21954.73</v>
      </c>
      <c r="AN208" s="202">
        <v>399399.01</v>
      </c>
      <c r="AO208" s="199"/>
      <c r="AP208" s="202">
        <v>742729.85034</v>
      </c>
      <c r="AQ208" s="202">
        <v>333639.05034000002</v>
      </c>
      <c r="AR208" s="202">
        <v>409090.81999999995</v>
      </c>
      <c r="AS208" s="203">
        <v>0.44920646475602105</v>
      </c>
    </row>
    <row r="209" spans="1:45" ht="15.75" x14ac:dyDescent="0.25">
      <c r="A209" s="682" t="s">
        <v>10</v>
      </c>
      <c r="B209" s="682"/>
      <c r="C209" s="682"/>
      <c r="D209" s="135"/>
      <c r="E209" s="201"/>
      <c r="F209" s="202">
        <v>113441.12880399998</v>
      </c>
      <c r="G209" s="202">
        <v>107682.15880399999</v>
      </c>
      <c r="H209" s="202">
        <v>5758.97</v>
      </c>
      <c r="I209" s="202">
        <v>111325.99</v>
      </c>
      <c r="J209" s="202">
        <v>107619.91280000001</v>
      </c>
      <c r="K209" s="202">
        <v>3706.1372000000001</v>
      </c>
      <c r="L209" s="202">
        <v>225905.72999999998</v>
      </c>
      <c r="M209" s="202">
        <v>19363.61</v>
      </c>
      <c r="N209" s="202">
        <v>206542.12</v>
      </c>
      <c r="O209"/>
      <c r="P209" s="202">
        <v>450672.84880400001</v>
      </c>
      <c r="Q209" s="202">
        <v>234665.68160400001</v>
      </c>
      <c r="R209" s="202">
        <v>216007.22719999996</v>
      </c>
      <c r="S209" s="203">
        <v>0.52070073053381871</v>
      </c>
      <c r="AF209" s="202">
        <v>113441.12880399998</v>
      </c>
      <c r="AG209" s="202">
        <v>107682.15880399999</v>
      </c>
      <c r="AH209" s="202">
        <v>5758.97</v>
      </c>
      <c r="AI209" s="202">
        <v>111325.99</v>
      </c>
      <c r="AJ209" s="202">
        <v>107619.91280000001</v>
      </c>
      <c r="AK209" s="202">
        <v>3706.1372000000001</v>
      </c>
      <c r="AL209" s="202">
        <v>225905.72999999998</v>
      </c>
      <c r="AM209" s="202">
        <v>19363.61</v>
      </c>
      <c r="AN209" s="202">
        <v>206542.12</v>
      </c>
      <c r="AO209" s="199"/>
      <c r="AP209" s="202">
        <v>450672.84880400001</v>
      </c>
      <c r="AQ209" s="202">
        <v>234665.68160400001</v>
      </c>
      <c r="AR209" s="202">
        <v>216007.22719999996</v>
      </c>
      <c r="AS209" s="203">
        <v>0.52070073053381871</v>
      </c>
    </row>
    <row r="210" spans="1:45" ht="15.75" x14ac:dyDescent="0.25">
      <c r="A210" s="682" t="s">
        <v>11</v>
      </c>
      <c r="B210" s="682"/>
      <c r="C210" s="682"/>
      <c r="D210" s="135"/>
      <c r="E210" s="201"/>
      <c r="F210" s="202">
        <v>114326.25446999999</v>
      </c>
      <c r="G210" s="202">
        <v>104915.10966999999</v>
      </c>
      <c r="H210" s="202">
        <v>9410.8847999999998</v>
      </c>
      <c r="I210" s="202">
        <v>100328.19999999998</v>
      </c>
      <c r="J210" s="202">
        <v>94221.919999999984</v>
      </c>
      <c r="K210" s="202">
        <v>6106.4100000000008</v>
      </c>
      <c r="L210" s="202">
        <v>367789.8600000001</v>
      </c>
      <c r="M210" s="202">
        <v>4404.17</v>
      </c>
      <c r="N210" s="202">
        <v>363385.69000000006</v>
      </c>
      <c r="O210"/>
      <c r="P210" s="202">
        <v>582444.3144700001</v>
      </c>
      <c r="Q210" s="202">
        <v>203541.19967000006</v>
      </c>
      <c r="R210" s="202">
        <v>378902.98479999998</v>
      </c>
      <c r="S210" s="203">
        <v>0.34946035975166828</v>
      </c>
      <c r="V210"/>
      <c r="W210"/>
      <c r="X210"/>
      <c r="Y210"/>
      <c r="Z210"/>
      <c r="AA210"/>
      <c r="AF210" s="202">
        <v>114326.25446999999</v>
      </c>
      <c r="AG210" s="202">
        <v>104915.10966999999</v>
      </c>
      <c r="AH210" s="202">
        <v>9410.8847999999998</v>
      </c>
      <c r="AI210" s="202">
        <v>100328.19999999998</v>
      </c>
      <c r="AJ210" s="202">
        <v>94221.919999999984</v>
      </c>
      <c r="AK210" s="202">
        <v>6106.4100000000008</v>
      </c>
      <c r="AL210" s="202">
        <v>367789.8600000001</v>
      </c>
      <c r="AM210" s="202">
        <v>4404.17</v>
      </c>
      <c r="AN210" s="202">
        <v>363385.69000000006</v>
      </c>
      <c r="AO210" s="199"/>
      <c r="AP210" s="202">
        <v>582444.3144700001</v>
      </c>
      <c r="AQ210" s="202">
        <v>203541.19967000006</v>
      </c>
      <c r="AR210" s="202">
        <v>378902.98479999998</v>
      </c>
      <c r="AS210" s="203">
        <v>0.34946035975166828</v>
      </c>
    </row>
    <row r="211" spans="1:45" x14ac:dyDescent="0.2">
      <c r="A211" s="184"/>
      <c r="B211" s="184"/>
      <c r="C211" s="184"/>
      <c r="D211" s="135"/>
      <c r="E211" s="185"/>
      <c r="F211" s="186"/>
      <c r="G211" s="186"/>
      <c r="H211" s="186"/>
      <c r="I211" s="186"/>
      <c r="J211" s="186"/>
      <c r="K211" s="186"/>
      <c r="L211" s="186"/>
      <c r="M211" s="186"/>
      <c r="N211" s="186"/>
      <c r="O211"/>
      <c r="P211" s="184"/>
      <c r="Q211" s="184"/>
      <c r="R211" s="184"/>
      <c r="S211" s="184"/>
      <c r="V211"/>
      <c r="W211"/>
      <c r="X211"/>
      <c r="Y211"/>
      <c r="Z211"/>
      <c r="AA211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7"/>
      <c r="AP211" s="184"/>
      <c r="AQ211" s="184"/>
      <c r="AR211" s="184"/>
      <c r="AS211" s="184"/>
    </row>
    <row r="212" spans="1:45" ht="15.75" x14ac:dyDescent="0.25">
      <c r="A212" s="683" t="s">
        <v>7</v>
      </c>
      <c r="B212" s="684"/>
      <c r="C212" s="685"/>
      <c r="D212" s="135"/>
      <c r="E212" s="204"/>
      <c r="F212" s="205">
        <v>781932.51</v>
      </c>
      <c r="G212" s="205">
        <v>724099.25</v>
      </c>
      <c r="H212" s="205">
        <v>57833.27</v>
      </c>
      <c r="I212" s="205">
        <v>667415.55000000005</v>
      </c>
      <c r="J212" s="205">
        <v>632189.61</v>
      </c>
      <c r="K212" s="205">
        <v>35225.93</v>
      </c>
      <c r="L212" s="205">
        <v>2023642.96</v>
      </c>
      <c r="M212" s="205">
        <v>259067.64</v>
      </c>
      <c r="N212" s="205">
        <v>1764575.32</v>
      </c>
      <c r="O212"/>
      <c r="P212" s="205">
        <v>3472992</v>
      </c>
      <c r="Q212" s="205">
        <v>1615356.51</v>
      </c>
      <c r="R212" s="205">
        <v>1857634.52</v>
      </c>
      <c r="S212" s="178">
        <v>0.46510000000000001</v>
      </c>
      <c r="V212"/>
      <c r="W212"/>
      <c r="X212"/>
      <c r="Y212"/>
      <c r="Z212"/>
      <c r="AA212"/>
      <c r="AF212" s="205">
        <v>781932.51</v>
      </c>
      <c r="AG212" s="205">
        <v>724099.25</v>
      </c>
      <c r="AH212" s="205">
        <v>57833.27</v>
      </c>
      <c r="AI212" s="205">
        <v>667415.55000000005</v>
      </c>
      <c r="AJ212" s="205">
        <v>632189.61</v>
      </c>
      <c r="AK212" s="205">
        <v>35225.93</v>
      </c>
      <c r="AL212" s="205">
        <v>2023642.96</v>
      </c>
      <c r="AM212" s="205">
        <v>259067.64</v>
      </c>
      <c r="AN212" s="205">
        <v>1764575.32</v>
      </c>
      <c r="AO212" s="206">
        <v>0</v>
      </c>
      <c r="AP212" s="205">
        <v>3472992</v>
      </c>
      <c r="AQ212" s="205">
        <v>1615356.51</v>
      </c>
      <c r="AR212" s="205">
        <v>1857634.52</v>
      </c>
      <c r="AS212" s="178">
        <v>0.46510000000000001</v>
      </c>
    </row>
    <row r="213" spans="1:45" x14ac:dyDescent="0.2">
      <c r="A213" s="204"/>
      <c r="B213" s="204" t="s">
        <v>231</v>
      </c>
      <c r="C213" s="204"/>
      <c r="D213" s="135"/>
      <c r="F213" s="119"/>
      <c r="G213" s="119"/>
      <c r="H213" s="119"/>
      <c r="I213" s="119"/>
      <c r="J213" s="119"/>
      <c r="K213" s="119"/>
      <c r="L213" s="119"/>
      <c r="M213" s="119"/>
      <c r="N213" s="119"/>
      <c r="O213"/>
      <c r="V213"/>
      <c r="W213"/>
      <c r="X213"/>
      <c r="Y213"/>
      <c r="Z213"/>
      <c r="AA213"/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19"/>
    </row>
    <row r="214" spans="1:45" ht="15.75" x14ac:dyDescent="0.25">
      <c r="A214" s="677" t="s">
        <v>8</v>
      </c>
      <c r="B214" s="677"/>
      <c r="C214" s="677"/>
      <c r="D214" s="135"/>
      <c r="E214" s="207"/>
      <c r="F214" s="182">
        <v>393104.56</v>
      </c>
      <c r="G214" s="182">
        <v>363575.96</v>
      </c>
      <c r="H214" s="182">
        <v>29528.6</v>
      </c>
      <c r="I214" s="182">
        <v>321065.7</v>
      </c>
      <c r="J214" s="182">
        <v>311375.11</v>
      </c>
      <c r="K214" s="182">
        <v>9690.58</v>
      </c>
      <c r="L214" s="182">
        <v>1025007.22</v>
      </c>
      <c r="M214" s="182">
        <v>216885.01</v>
      </c>
      <c r="N214" s="182">
        <v>808122.21</v>
      </c>
      <c r="O214"/>
      <c r="P214" s="182">
        <v>1739177.48</v>
      </c>
      <c r="Q214" s="182">
        <v>891836.08</v>
      </c>
      <c r="R214" s="182">
        <v>847341.39</v>
      </c>
      <c r="S214" s="183">
        <v>0.51270000000000004</v>
      </c>
      <c r="V214"/>
      <c r="W214"/>
      <c r="X214"/>
      <c r="Y214"/>
      <c r="Z214"/>
      <c r="AA214"/>
      <c r="AF214" s="182">
        <v>393104.56</v>
      </c>
      <c r="AG214" s="182">
        <v>363575.96</v>
      </c>
      <c r="AH214" s="182">
        <v>29528.6</v>
      </c>
      <c r="AI214" s="182">
        <v>321065.7</v>
      </c>
      <c r="AJ214" s="182">
        <v>311375.11</v>
      </c>
      <c r="AK214" s="182">
        <v>9690.58</v>
      </c>
      <c r="AL214" s="182">
        <v>1025007.22</v>
      </c>
      <c r="AM214" s="182">
        <v>216885.01</v>
      </c>
      <c r="AN214" s="182">
        <v>808122.21</v>
      </c>
      <c r="AO214" s="206">
        <v>0</v>
      </c>
      <c r="AP214" s="182">
        <v>1739177.48</v>
      </c>
      <c r="AQ214" s="182">
        <v>891836.08</v>
      </c>
      <c r="AR214" s="182">
        <v>847341.39</v>
      </c>
      <c r="AS214" s="183">
        <v>0.51270000000000004</v>
      </c>
    </row>
    <row r="215" spans="1:45" ht="15.75" x14ac:dyDescent="0.25">
      <c r="A215" s="677" t="s">
        <v>9</v>
      </c>
      <c r="B215" s="677"/>
      <c r="C215" s="677"/>
      <c r="D215" s="135"/>
      <c r="E215" s="207"/>
      <c r="F215" s="182">
        <v>161529.84</v>
      </c>
      <c r="G215" s="182">
        <v>152860.59</v>
      </c>
      <c r="H215" s="182">
        <v>8669.25</v>
      </c>
      <c r="I215" s="182">
        <v>137604.97</v>
      </c>
      <c r="J215" s="182">
        <v>132106.82</v>
      </c>
      <c r="K215" s="182">
        <v>5498.14</v>
      </c>
      <c r="L215" s="182">
        <v>435845.71</v>
      </c>
      <c r="M215" s="182">
        <v>20298.78</v>
      </c>
      <c r="N215" s="182">
        <v>415546.93</v>
      </c>
      <c r="O215"/>
      <c r="P215" s="182">
        <v>734980.52</v>
      </c>
      <c r="Q215" s="182">
        <v>305266.19</v>
      </c>
      <c r="R215" s="182">
        <v>429714.32</v>
      </c>
      <c r="S215" s="183">
        <v>0.4153</v>
      </c>
      <c r="AF215" s="182">
        <v>161529.84</v>
      </c>
      <c r="AG215" s="182">
        <v>152860.59</v>
      </c>
      <c r="AH215" s="182">
        <v>8669.25</v>
      </c>
      <c r="AI215" s="182">
        <v>137604.97</v>
      </c>
      <c r="AJ215" s="182">
        <v>132106.82</v>
      </c>
      <c r="AK215" s="182">
        <v>5498.14</v>
      </c>
      <c r="AL215" s="182">
        <v>435845.71</v>
      </c>
      <c r="AM215" s="182">
        <v>20298.78</v>
      </c>
      <c r="AN215" s="182">
        <v>415546.93</v>
      </c>
      <c r="AO215" s="206">
        <v>0</v>
      </c>
      <c r="AP215" s="182">
        <v>734980.52</v>
      </c>
      <c r="AQ215" s="182">
        <v>305266.19</v>
      </c>
      <c r="AR215" s="182">
        <v>429714.32</v>
      </c>
      <c r="AS215" s="183">
        <v>0.4153</v>
      </c>
    </row>
    <row r="216" spans="1:45" ht="15.75" x14ac:dyDescent="0.25">
      <c r="A216" s="677" t="s">
        <v>10</v>
      </c>
      <c r="B216" s="677"/>
      <c r="C216" s="677"/>
      <c r="D216" s="135"/>
      <c r="E216" s="207"/>
      <c r="F216" s="182">
        <v>104664.76</v>
      </c>
      <c r="G216" s="182">
        <v>98441.04</v>
      </c>
      <c r="H216" s="182">
        <v>6223.71</v>
      </c>
      <c r="I216" s="182">
        <v>115584.1</v>
      </c>
      <c r="J216" s="182">
        <v>111889.41</v>
      </c>
      <c r="K216" s="182">
        <v>3694.68</v>
      </c>
      <c r="L216" s="182">
        <v>223425.77</v>
      </c>
      <c r="M216" s="182">
        <v>18348.169999999998</v>
      </c>
      <c r="N216" s="182">
        <v>205077.6</v>
      </c>
      <c r="O216"/>
      <c r="P216" s="182">
        <v>443674.63</v>
      </c>
      <c r="Q216" s="182">
        <v>228678.63</v>
      </c>
      <c r="R216" s="182">
        <v>214995.99</v>
      </c>
      <c r="S216" s="183">
        <v>0.51539999999999997</v>
      </c>
      <c r="AF216" s="182">
        <v>104664.76</v>
      </c>
      <c r="AG216" s="182">
        <v>98441.04</v>
      </c>
      <c r="AH216" s="182">
        <v>6223.71</v>
      </c>
      <c r="AI216" s="182">
        <v>115584.1</v>
      </c>
      <c r="AJ216" s="182">
        <v>111889.41</v>
      </c>
      <c r="AK216" s="182">
        <v>3694.68</v>
      </c>
      <c r="AL216" s="182">
        <v>223425.77</v>
      </c>
      <c r="AM216" s="182">
        <v>18348.169999999998</v>
      </c>
      <c r="AN216" s="182">
        <v>205077.6</v>
      </c>
      <c r="AO216" s="206">
        <v>0</v>
      </c>
      <c r="AP216" s="182">
        <v>443674.63</v>
      </c>
      <c r="AQ216" s="182">
        <v>228678.63</v>
      </c>
      <c r="AR216" s="182">
        <v>214995.99</v>
      </c>
      <c r="AS216" s="183">
        <v>0.51539999999999997</v>
      </c>
    </row>
    <row r="217" spans="1:45" ht="15.75" x14ac:dyDescent="0.25">
      <c r="A217" s="677" t="s">
        <v>11</v>
      </c>
      <c r="B217" s="677"/>
      <c r="C217" s="677"/>
      <c r="D217" s="135"/>
      <c r="E217" s="207"/>
      <c r="F217" s="182">
        <v>122633.34</v>
      </c>
      <c r="G217" s="182">
        <v>109221.64</v>
      </c>
      <c r="H217" s="182">
        <v>13411.7</v>
      </c>
      <c r="I217" s="182">
        <v>93160.78</v>
      </c>
      <c r="J217" s="182">
        <v>76818.25</v>
      </c>
      <c r="K217" s="182">
        <v>16342.52</v>
      </c>
      <c r="L217" s="182">
        <v>339364.26</v>
      </c>
      <c r="M217" s="182">
        <v>3535.68</v>
      </c>
      <c r="N217" s="182">
        <v>335828.58</v>
      </c>
      <c r="O217"/>
      <c r="P217" s="182">
        <v>555158.38</v>
      </c>
      <c r="Q217" s="182">
        <v>189575.58</v>
      </c>
      <c r="R217" s="182">
        <v>365582.8</v>
      </c>
      <c r="S217" s="183">
        <v>0.34139999999999998</v>
      </c>
      <c r="AF217" s="182">
        <v>122633.34</v>
      </c>
      <c r="AG217" s="182">
        <v>109221.64</v>
      </c>
      <c r="AH217" s="182">
        <v>13411.7</v>
      </c>
      <c r="AI217" s="182">
        <v>93160.78</v>
      </c>
      <c r="AJ217" s="182">
        <v>76818.25</v>
      </c>
      <c r="AK217" s="182">
        <v>16342.52</v>
      </c>
      <c r="AL217" s="182">
        <v>339364.26</v>
      </c>
      <c r="AM217" s="182">
        <v>3535.68</v>
      </c>
      <c r="AN217" s="182">
        <v>335828.58</v>
      </c>
      <c r="AO217" s="206">
        <v>0</v>
      </c>
      <c r="AP217" s="182">
        <v>555158.38</v>
      </c>
      <c r="AQ217" s="182">
        <v>189575.58</v>
      </c>
      <c r="AR217" s="182">
        <v>365582.8</v>
      </c>
      <c r="AS217" s="183">
        <v>0.34139999999999998</v>
      </c>
    </row>
    <row r="218" spans="1:45" x14ac:dyDescent="0.2">
      <c r="D218" s="135"/>
      <c r="O218"/>
    </row>
    <row r="219" spans="1:45" ht="15.75" x14ac:dyDescent="0.25">
      <c r="A219" s="673" t="s">
        <v>7</v>
      </c>
      <c r="B219" s="674"/>
      <c r="C219" s="675"/>
      <c r="D219" s="135"/>
      <c r="E219" s="209"/>
      <c r="F219" s="210">
        <v>780245.88684224233</v>
      </c>
      <c r="G219" s="210">
        <v>722570.62020977982</v>
      </c>
      <c r="H219" s="210">
        <v>57675.268989419019</v>
      </c>
      <c r="I219" s="210">
        <v>726885.98999999976</v>
      </c>
      <c r="J219" s="210">
        <v>702956.36975000019</v>
      </c>
      <c r="K219" s="210">
        <v>23928.62025</v>
      </c>
      <c r="L219" s="210">
        <v>2015711.9399999997</v>
      </c>
      <c r="M219" s="210">
        <v>231353.48999999996</v>
      </c>
      <c r="N219" s="210">
        <v>1784358.4500000002</v>
      </c>
      <c r="O219"/>
      <c r="P219" s="210">
        <f>F219+I219+L219</f>
        <v>3522843.8168422421</v>
      </c>
      <c r="Q219" s="210">
        <f>G219+J219+M219</f>
        <v>1656880.4799597801</v>
      </c>
      <c r="R219" s="210">
        <f>H219+K219+N219</f>
        <v>1865962.3392394192</v>
      </c>
      <c r="S219" s="212">
        <f>Q219/P219</f>
        <v>0.47032470529589121</v>
      </c>
      <c r="AF219" s="210">
        <v>780245.88684224233</v>
      </c>
      <c r="AG219" s="210">
        <v>722570.62020977982</v>
      </c>
      <c r="AH219" s="210">
        <v>57675.268989419019</v>
      </c>
      <c r="AI219" s="210">
        <v>726885.98999999976</v>
      </c>
      <c r="AJ219" s="210">
        <v>702956.36975000019</v>
      </c>
      <c r="AK219" s="210">
        <v>23928.62025</v>
      </c>
      <c r="AL219" s="210">
        <v>2015711.9399999997</v>
      </c>
      <c r="AM219" s="210">
        <v>231353.48999999996</v>
      </c>
      <c r="AN219" s="210">
        <v>1784358.4500000002</v>
      </c>
      <c r="AO219" s="211">
        <v>0.47032470529589121</v>
      </c>
      <c r="AP219" s="210">
        <f>AF219+AI219+AL219</f>
        <v>3522843.8168422421</v>
      </c>
      <c r="AQ219" s="210">
        <f>AG219+AJ219+AM219</f>
        <v>1656880.4799597801</v>
      </c>
      <c r="AR219" s="210">
        <f>AH219+AK219+AN219</f>
        <v>1865962.3392394192</v>
      </c>
      <c r="AS219" s="212">
        <f>AQ219/AP219</f>
        <v>0.47032470529589121</v>
      </c>
    </row>
    <row r="220" spans="1:45" x14ac:dyDescent="0.2">
      <c r="A220" s="209"/>
      <c r="B220" s="209" t="s">
        <v>232</v>
      </c>
      <c r="C220" s="209"/>
      <c r="D220" s="135"/>
      <c r="F220" s="119"/>
      <c r="G220" s="119"/>
      <c r="H220" s="119"/>
      <c r="I220" s="119"/>
      <c r="J220" s="119"/>
      <c r="K220" s="119"/>
      <c r="L220" s="119"/>
      <c r="M220" s="119"/>
      <c r="N220" s="119"/>
      <c r="O220"/>
      <c r="AF220" s="119"/>
      <c r="AG220" s="119"/>
      <c r="AH220" s="119"/>
      <c r="AI220" s="119"/>
      <c r="AJ220" s="119"/>
      <c r="AK220" s="119"/>
      <c r="AL220" s="119"/>
      <c r="AM220" s="119"/>
      <c r="AN220" s="119"/>
      <c r="AO220" s="119"/>
    </row>
    <row r="221" spans="1:45" ht="15.75" x14ac:dyDescent="0.25">
      <c r="A221" s="676" t="s">
        <v>8</v>
      </c>
      <c r="B221" s="676"/>
      <c r="C221" s="676"/>
      <c r="D221" s="135"/>
      <c r="E221" s="213"/>
      <c r="F221" s="214">
        <v>418977.82041186071</v>
      </c>
      <c r="G221" s="214">
        <v>385217.15643382585</v>
      </c>
      <c r="H221" s="214">
        <v>33760.663978034994</v>
      </c>
      <c r="I221" s="214">
        <v>350643.41</v>
      </c>
      <c r="J221" s="214">
        <v>344413.04</v>
      </c>
      <c r="K221" s="214">
        <v>6229.3700000000008</v>
      </c>
      <c r="L221" s="214">
        <v>1029387.1299999999</v>
      </c>
      <c r="M221" s="214">
        <v>205658.04999999993</v>
      </c>
      <c r="N221" s="214">
        <v>823729.08000000007</v>
      </c>
      <c r="O221"/>
      <c r="P221" s="214">
        <f>F221+I221+L221</f>
        <v>1799008.3604118605</v>
      </c>
      <c r="Q221" s="214">
        <f t="shared" ref="Q221:R224" si="38">G221+J221+M221</f>
        <v>935288.24643382581</v>
      </c>
      <c r="R221" s="214">
        <f t="shared" si="38"/>
        <v>863719.11397803505</v>
      </c>
      <c r="S221" s="215">
        <f>Q221/P221</f>
        <v>0.51989099495885793</v>
      </c>
      <c r="AF221" s="214">
        <v>418977.82041186071</v>
      </c>
      <c r="AG221" s="214">
        <v>385217.15643382585</v>
      </c>
      <c r="AH221" s="214">
        <v>33760.663978034994</v>
      </c>
      <c r="AI221" s="214">
        <v>350643.41</v>
      </c>
      <c r="AJ221" s="214">
        <v>344413.04</v>
      </c>
      <c r="AK221" s="214">
        <v>6229.3700000000008</v>
      </c>
      <c r="AL221" s="214">
        <v>1029387.1299999999</v>
      </c>
      <c r="AM221" s="214">
        <v>205658.04999999993</v>
      </c>
      <c r="AN221" s="214">
        <v>823729.08000000007</v>
      </c>
      <c r="AO221" s="211">
        <v>0.51989099495885793</v>
      </c>
      <c r="AP221" s="214">
        <f>AF221+AI221+AL221</f>
        <v>1799008.3604118605</v>
      </c>
      <c r="AQ221" s="214">
        <f t="shared" ref="AQ221:AQ224" si="39">AG221+AJ221+AM221</f>
        <v>935288.24643382581</v>
      </c>
      <c r="AR221" s="214">
        <f t="shared" ref="AR221:AR224" si="40">AH221+AK221+AN221</f>
        <v>863719.11397803505</v>
      </c>
      <c r="AS221" s="215">
        <f>AQ221/AP221</f>
        <v>0.51989099495885793</v>
      </c>
    </row>
    <row r="222" spans="1:45" ht="15.75" x14ac:dyDescent="0.25">
      <c r="A222" s="676" t="s">
        <v>9</v>
      </c>
      <c r="B222" s="676"/>
      <c r="C222" s="676"/>
      <c r="D222" s="135"/>
      <c r="E222" s="213"/>
      <c r="F222" s="214">
        <v>154127.14000000001</v>
      </c>
      <c r="G222" s="214">
        <v>146047.087640154</v>
      </c>
      <c r="H222" s="214">
        <v>8080.0523598459822</v>
      </c>
      <c r="I222" s="214">
        <v>155695.62</v>
      </c>
      <c r="J222" s="214">
        <v>148631.96</v>
      </c>
      <c r="K222" s="214">
        <v>7063.6600000000035</v>
      </c>
      <c r="L222" s="214">
        <v>430801.91000000003</v>
      </c>
      <c r="M222" s="214">
        <v>15114.29</v>
      </c>
      <c r="N222" s="214">
        <v>415687.62</v>
      </c>
      <c r="O222"/>
      <c r="P222" s="214">
        <f>F222+I222+L222</f>
        <v>740624.67</v>
      </c>
      <c r="Q222" s="214">
        <f t="shared" si="38"/>
        <v>309793.337640154</v>
      </c>
      <c r="R222" s="214">
        <f t="shared" si="38"/>
        <v>430831.33235984598</v>
      </c>
      <c r="S222" s="215">
        <f>Q222/P222</f>
        <v>0.41828654943421473</v>
      </c>
      <c r="AF222" s="214">
        <v>154127.14000000001</v>
      </c>
      <c r="AG222" s="214">
        <v>146047.087640154</v>
      </c>
      <c r="AH222" s="214">
        <v>8080.0523598459822</v>
      </c>
      <c r="AI222" s="214">
        <v>155695.62</v>
      </c>
      <c r="AJ222" s="214">
        <v>148631.96</v>
      </c>
      <c r="AK222" s="214">
        <v>7063.6600000000035</v>
      </c>
      <c r="AL222" s="214">
        <v>430801.91000000003</v>
      </c>
      <c r="AM222" s="214">
        <v>15114.29</v>
      </c>
      <c r="AN222" s="214">
        <v>415687.62</v>
      </c>
      <c r="AO222" s="211">
        <v>0.41828654943421473</v>
      </c>
      <c r="AP222" s="214">
        <f>AF222+AI222+AL222</f>
        <v>740624.67</v>
      </c>
      <c r="AQ222" s="214">
        <f t="shared" si="39"/>
        <v>309793.337640154</v>
      </c>
      <c r="AR222" s="214">
        <f t="shared" si="40"/>
        <v>430831.33235984598</v>
      </c>
      <c r="AS222" s="215">
        <f>AQ222/AP222</f>
        <v>0.41828654943421473</v>
      </c>
    </row>
    <row r="223" spans="1:45" ht="15.75" x14ac:dyDescent="0.25">
      <c r="A223" s="676" t="s">
        <v>10</v>
      </c>
      <c r="B223" s="676"/>
      <c r="C223" s="676"/>
      <c r="D223" s="135"/>
      <c r="E223" s="213"/>
      <c r="F223" s="214">
        <v>104184.5236</v>
      </c>
      <c r="G223" s="214">
        <v>97571.581858261095</v>
      </c>
      <c r="H223" s="214">
        <v>6612.9417417388931</v>
      </c>
      <c r="I223" s="214">
        <v>121636.20999999998</v>
      </c>
      <c r="J223" s="214">
        <v>114191.06974999998</v>
      </c>
      <c r="K223" s="214">
        <v>7445.1402500000004</v>
      </c>
      <c r="L223" s="214">
        <v>226341.53000000003</v>
      </c>
      <c r="M223" s="214">
        <v>10312.009999999998</v>
      </c>
      <c r="N223" s="214">
        <v>216029.52000000002</v>
      </c>
      <c r="O223"/>
      <c r="P223" s="214">
        <f>F223+I223+L223</f>
        <v>452162.26360000001</v>
      </c>
      <c r="Q223" s="214">
        <f t="shared" si="38"/>
        <v>222074.66160826109</v>
      </c>
      <c r="R223" s="214">
        <f t="shared" si="38"/>
        <v>230087.60199173892</v>
      </c>
      <c r="S223" s="215">
        <f>Q223/P223</f>
        <v>0.49113930879627055</v>
      </c>
      <c r="AF223" s="214">
        <v>104184.5236</v>
      </c>
      <c r="AG223" s="214">
        <v>97571.581858261095</v>
      </c>
      <c r="AH223" s="214">
        <v>6612.9417417388931</v>
      </c>
      <c r="AI223" s="214">
        <v>121636.20999999998</v>
      </c>
      <c r="AJ223" s="214">
        <v>114191.06974999998</v>
      </c>
      <c r="AK223" s="214">
        <v>7445.1402500000004</v>
      </c>
      <c r="AL223" s="214">
        <v>226341.53000000003</v>
      </c>
      <c r="AM223" s="214">
        <v>10312.009999999998</v>
      </c>
      <c r="AN223" s="214">
        <v>216029.52000000002</v>
      </c>
      <c r="AO223" s="211">
        <v>0.49113930879627055</v>
      </c>
      <c r="AP223" s="214">
        <f>AF223+AI223+AL223</f>
        <v>452162.26360000001</v>
      </c>
      <c r="AQ223" s="214">
        <f t="shared" si="39"/>
        <v>222074.66160826109</v>
      </c>
      <c r="AR223" s="214">
        <f t="shared" si="40"/>
        <v>230087.60199173892</v>
      </c>
      <c r="AS223" s="215">
        <f>AQ223/AP223</f>
        <v>0.49113930879627055</v>
      </c>
    </row>
    <row r="224" spans="1:45" ht="15.75" x14ac:dyDescent="0.25">
      <c r="A224" s="676" t="s">
        <v>11</v>
      </c>
      <c r="B224" s="676"/>
      <c r="C224" s="676"/>
      <c r="D224" s="135"/>
      <c r="E224" s="213"/>
      <c r="F224" s="214">
        <v>102956.40283038173</v>
      </c>
      <c r="G224" s="214">
        <v>93734.794277538749</v>
      </c>
      <c r="H224" s="214">
        <v>9221.6109097991703</v>
      </c>
      <c r="I224" s="214">
        <v>98910.75</v>
      </c>
      <c r="J224" s="214">
        <v>95720.299999999988</v>
      </c>
      <c r="K224" s="214">
        <v>3190.45</v>
      </c>
      <c r="L224" s="214">
        <v>329181.36999999994</v>
      </c>
      <c r="M224" s="214">
        <v>269.14</v>
      </c>
      <c r="N224" s="214">
        <v>328912.22999999992</v>
      </c>
      <c r="O224"/>
      <c r="P224" s="214">
        <f>F224+I224+L224</f>
        <v>531048.52283038164</v>
      </c>
      <c r="Q224" s="214">
        <f t="shared" si="38"/>
        <v>189724.23427753875</v>
      </c>
      <c r="R224" s="214">
        <f t="shared" si="38"/>
        <v>341324.29090979911</v>
      </c>
      <c r="S224" s="215">
        <f>Q224/P224</f>
        <v>0.35726346298139916</v>
      </c>
      <c r="AF224" s="214">
        <v>102956.40283038173</v>
      </c>
      <c r="AG224" s="214">
        <v>93734.794277538749</v>
      </c>
      <c r="AH224" s="214">
        <v>9221.6109097991703</v>
      </c>
      <c r="AI224" s="214">
        <v>98910.75</v>
      </c>
      <c r="AJ224" s="214">
        <v>95720.299999999988</v>
      </c>
      <c r="AK224" s="214">
        <v>3190.45</v>
      </c>
      <c r="AL224" s="214">
        <v>329181.36999999994</v>
      </c>
      <c r="AM224" s="214">
        <v>269.14</v>
      </c>
      <c r="AN224" s="214">
        <v>328912.22999999992</v>
      </c>
      <c r="AO224" s="211">
        <v>0.35726346298139916</v>
      </c>
      <c r="AP224" s="214">
        <f>AF224+AI224+AL224</f>
        <v>531048.52283038164</v>
      </c>
      <c r="AQ224" s="214">
        <f t="shared" si="39"/>
        <v>189724.23427753875</v>
      </c>
      <c r="AR224" s="214">
        <f t="shared" si="40"/>
        <v>341324.29090979911</v>
      </c>
      <c r="AS224" s="215">
        <f>AQ224/AP224</f>
        <v>0.35726346298139916</v>
      </c>
    </row>
  </sheetData>
  <mergeCells count="78">
    <mergeCell ref="A155:C155"/>
    <mergeCell ref="A156:C156"/>
    <mergeCell ref="A137:C137"/>
    <mergeCell ref="A138:C138"/>
    <mergeCell ref="A141:C141"/>
    <mergeCell ref="A143:C143"/>
    <mergeCell ref="A144:C144"/>
    <mergeCell ref="A145:C145"/>
    <mergeCell ref="A146:C146"/>
    <mergeCell ref="A161:C161"/>
    <mergeCell ref="A1:S1"/>
    <mergeCell ref="F2:S2"/>
    <mergeCell ref="F3:H3"/>
    <mergeCell ref="I3:K3"/>
    <mergeCell ref="L3:N3"/>
    <mergeCell ref="P3:P4"/>
    <mergeCell ref="Q3:Q4"/>
    <mergeCell ref="R3:R4"/>
    <mergeCell ref="S3:S4"/>
    <mergeCell ref="A133:C133"/>
    <mergeCell ref="A134:C134"/>
    <mergeCell ref="A151:C151"/>
    <mergeCell ref="A136:C136"/>
    <mergeCell ref="A153:C153"/>
    <mergeCell ref="A154:C154"/>
    <mergeCell ref="U2:V3"/>
    <mergeCell ref="AF2:AS2"/>
    <mergeCell ref="AF3:AH3"/>
    <mergeCell ref="AI3:AK3"/>
    <mergeCell ref="AL3:AN3"/>
    <mergeCell ref="AP3:AP4"/>
    <mergeCell ref="AQ3:AQ4"/>
    <mergeCell ref="AR3:AR4"/>
    <mergeCell ref="AS3:AS4"/>
    <mergeCell ref="A163:C163"/>
    <mergeCell ref="A164:C164"/>
    <mergeCell ref="A183:C183"/>
    <mergeCell ref="A166:C166"/>
    <mergeCell ref="A168:C168"/>
    <mergeCell ref="A170:C170"/>
    <mergeCell ref="A171:C171"/>
    <mergeCell ref="A172:C172"/>
    <mergeCell ref="A173:C173"/>
    <mergeCell ref="A175:C175"/>
    <mergeCell ref="A177:C177"/>
    <mergeCell ref="A178:C178"/>
    <mergeCell ref="A179:C179"/>
    <mergeCell ref="A180:C180"/>
    <mergeCell ref="A165:C165"/>
    <mergeCell ref="A201:C201"/>
    <mergeCell ref="A185:C185"/>
    <mergeCell ref="A186:C186"/>
    <mergeCell ref="A187:C187"/>
    <mergeCell ref="A188:C188"/>
    <mergeCell ref="A191:C191"/>
    <mergeCell ref="A193:C193"/>
    <mergeCell ref="A194:C194"/>
    <mergeCell ref="A195:C195"/>
    <mergeCell ref="A196:C196"/>
    <mergeCell ref="A198:C198"/>
    <mergeCell ref="A200:C200"/>
    <mergeCell ref="A217:C217"/>
    <mergeCell ref="A202:C202"/>
    <mergeCell ref="A203:C203"/>
    <mergeCell ref="A205:C205"/>
    <mergeCell ref="A207:C207"/>
    <mergeCell ref="A208:C208"/>
    <mergeCell ref="A209:C209"/>
    <mergeCell ref="A210:C210"/>
    <mergeCell ref="A212:C212"/>
    <mergeCell ref="A214:C214"/>
    <mergeCell ref="A215:C215"/>
    <mergeCell ref="A216:C216"/>
    <mergeCell ref="A219:C219"/>
    <mergeCell ref="A221:C221"/>
    <mergeCell ref="A222:C222"/>
    <mergeCell ref="A223:C223"/>
    <mergeCell ref="A224:C224"/>
  </mergeCells>
  <hyperlinks>
    <hyperlink ref="D63" location="'2009-10'!A160" display="Bottom" xr:uid="{E1CD39F5-C18A-412C-BD72-5A4F0A55EF57}"/>
  </hyperlink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01A29-2F5E-42A4-A5F2-E254F1F17C87}">
  <dimension ref="A1:AW207"/>
  <sheetViews>
    <sheetView workbookViewId="0">
      <pane xSplit="3" ySplit="5" topLeftCell="D6" activePane="bottomRight" state="frozen"/>
      <selection activeCell="AC24" sqref="AC24"/>
      <selection pane="topRight" activeCell="AC24" sqref="AC24"/>
      <selection pane="bottomLeft" activeCell="AC24" sqref="AC24"/>
      <selection pane="bottomRight" activeCell="V1" sqref="V1:V1048576"/>
    </sheetView>
  </sheetViews>
  <sheetFormatPr defaultColWidth="9.140625" defaultRowHeight="12.75" x14ac:dyDescent="0.2"/>
  <cols>
    <col min="1" max="1" width="8" style="119" bestFit="1" customWidth="1"/>
    <col min="2" max="2" width="26" style="119" bestFit="1" customWidth="1"/>
    <col min="3" max="3" width="15.140625" style="119" bestFit="1" customWidth="1"/>
    <col min="4" max="4" width="3" style="216" bestFit="1" customWidth="1"/>
    <col min="5" max="5" width="1.7109375" style="119" customWidth="1"/>
    <col min="6" max="6" width="8.42578125" style="208" bestFit="1" customWidth="1"/>
    <col min="7" max="7" width="10.5703125" style="208" bestFit="1" customWidth="1"/>
    <col min="8" max="8" width="8.42578125" style="208" bestFit="1" customWidth="1"/>
    <col min="9" max="9" width="0.85546875" style="119" customWidth="1"/>
    <col min="10" max="10" width="8.42578125" style="208" bestFit="1" customWidth="1"/>
    <col min="11" max="11" width="9.28515625" style="208" customWidth="1"/>
    <col min="12" max="12" width="8.42578125" style="208" bestFit="1" customWidth="1"/>
    <col min="13" max="13" width="0.85546875" style="119" customWidth="1"/>
    <col min="14" max="14" width="8.42578125" style="208" bestFit="1" customWidth="1"/>
    <col min="15" max="15" width="9.28515625" style="208" customWidth="1"/>
    <col min="16" max="16" width="8.42578125" style="208" bestFit="1" customWidth="1"/>
    <col min="17" max="17" width="0.85546875" style="119" customWidth="1"/>
    <col min="18" max="18" width="8.42578125" style="119" bestFit="1" customWidth="1"/>
    <col min="19" max="19" width="9.42578125" style="119" bestFit="1" customWidth="1"/>
    <col min="20" max="20" width="8.42578125" style="119" bestFit="1" customWidth="1"/>
    <col min="21" max="21" width="1.7109375" style="119" customWidth="1"/>
    <col min="22" max="24" width="8.85546875" customWidth="1"/>
    <col min="25" max="25" width="4.140625" style="119" bestFit="1" customWidth="1"/>
    <col min="26" max="26" width="9.140625" style="119"/>
    <col min="27" max="27" width="7.42578125" style="119" bestFit="1" customWidth="1"/>
    <col min="28" max="30" width="9.140625" style="119"/>
    <col min="31" max="31" width="2.7109375" style="119" customWidth="1"/>
    <col min="32" max="16384" width="9.140625" style="119"/>
  </cols>
  <sheetData>
    <row r="1" spans="1:49" s="113" customFormat="1" ht="15.75" x14ac:dyDescent="0.25">
      <c r="A1" s="717" t="s">
        <v>443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  <c r="V1" s="217"/>
      <c r="W1" s="217"/>
      <c r="X1" s="217"/>
    </row>
    <row r="2" spans="1:49" s="220" customFormat="1" ht="15.75" x14ac:dyDescent="0.25">
      <c r="A2" s="218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</row>
    <row r="3" spans="1:49" ht="15.75" customHeight="1" x14ac:dyDescent="0.25">
      <c r="A3" s="115"/>
      <c r="B3" s="219" t="s">
        <v>440</v>
      </c>
      <c r="C3" s="117"/>
      <c r="D3" s="222"/>
      <c r="E3" s="223"/>
      <c r="F3" s="727" t="s">
        <v>233</v>
      </c>
      <c r="G3" s="728"/>
      <c r="H3" s="728"/>
      <c r="I3" s="222"/>
      <c r="J3" s="727" t="s">
        <v>234</v>
      </c>
      <c r="K3" s="728"/>
      <c r="L3" s="728"/>
      <c r="M3" s="222"/>
      <c r="N3" s="727" t="s">
        <v>235</v>
      </c>
      <c r="O3" s="729"/>
      <c r="P3" s="729"/>
      <c r="Q3" s="222"/>
      <c r="R3" s="727" t="s">
        <v>236</v>
      </c>
      <c r="S3" s="728"/>
      <c r="T3" s="728"/>
      <c r="V3" s="725" t="s">
        <v>237</v>
      </c>
      <c r="W3" s="726"/>
      <c r="X3" s="726"/>
      <c r="AB3" s="724" t="s">
        <v>238</v>
      </c>
      <c r="AC3" s="724"/>
      <c r="AD3" s="72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</row>
    <row r="4" spans="1:49" ht="15.75" customHeight="1" x14ac:dyDescent="0.25">
      <c r="A4" s="120"/>
      <c r="B4" s="120"/>
      <c r="C4" s="120"/>
      <c r="D4" s="120"/>
      <c r="E4" s="223"/>
      <c r="F4" s="628"/>
      <c r="G4" s="624"/>
      <c r="H4" s="624"/>
      <c r="I4" s="222"/>
      <c r="J4" s="628"/>
      <c r="K4" s="624"/>
      <c r="L4" s="624"/>
      <c r="M4" s="222"/>
      <c r="N4" s="628"/>
      <c r="O4" s="628"/>
      <c r="P4" s="628"/>
      <c r="Q4" s="222"/>
      <c r="R4" s="628"/>
      <c r="S4" s="624"/>
      <c r="T4" s="624"/>
      <c r="V4" s="629"/>
      <c r="W4" s="624"/>
      <c r="X4" s="624"/>
      <c r="AB4" s="624"/>
      <c r="AC4" s="624"/>
      <c r="AD4" s="62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</row>
    <row r="5" spans="1:49" ht="40.5" x14ac:dyDescent="0.25">
      <c r="A5" s="7" t="s">
        <v>35</v>
      </c>
      <c r="B5" s="33" t="s">
        <v>36</v>
      </c>
      <c r="C5" s="32" t="s">
        <v>14</v>
      </c>
      <c r="D5" s="34" t="s">
        <v>4</v>
      </c>
      <c r="E5" s="223"/>
      <c r="F5" s="35" t="s">
        <v>450</v>
      </c>
      <c r="G5" s="35" t="s">
        <v>451</v>
      </c>
      <c r="H5" s="35" t="s">
        <v>452</v>
      </c>
      <c r="I5" s="224"/>
      <c r="J5" s="35" t="s">
        <v>450</v>
      </c>
      <c r="K5" s="35" t="s">
        <v>451</v>
      </c>
      <c r="L5" s="35" t="s">
        <v>452</v>
      </c>
      <c r="M5" s="224"/>
      <c r="N5" s="35" t="s">
        <v>450</v>
      </c>
      <c r="O5" s="35" t="s">
        <v>451</v>
      </c>
      <c r="P5" s="35" t="s">
        <v>452</v>
      </c>
      <c r="Q5" s="224"/>
      <c r="R5" s="35" t="s">
        <v>450</v>
      </c>
      <c r="S5" s="35" t="s">
        <v>451</v>
      </c>
      <c r="T5" s="35" t="s">
        <v>452</v>
      </c>
      <c r="V5" s="35" t="s">
        <v>450</v>
      </c>
      <c r="W5" s="35" t="s">
        <v>451</v>
      </c>
      <c r="X5" s="35" t="s">
        <v>452</v>
      </c>
      <c r="Z5" s="35" t="s">
        <v>239</v>
      </c>
      <c r="AB5" s="107" t="s">
        <v>240</v>
      </c>
      <c r="AC5" s="107" t="s">
        <v>241</v>
      </c>
      <c r="AD5" s="107" t="s">
        <v>242</v>
      </c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</row>
    <row r="6" spans="1:49" x14ac:dyDescent="0.2">
      <c r="A6" s="9">
        <v>10050</v>
      </c>
      <c r="B6" s="9" t="s">
        <v>71</v>
      </c>
      <c r="C6" s="9" t="s">
        <v>66</v>
      </c>
      <c r="D6" s="29" t="s">
        <v>1</v>
      </c>
      <c r="E6" s="19"/>
      <c r="F6" s="1">
        <v>4461</v>
      </c>
      <c r="G6" s="1">
        <v>4134.5</v>
      </c>
      <c r="H6" s="1">
        <v>326.5</v>
      </c>
      <c r="I6" s="226"/>
      <c r="J6" s="1">
        <v>2603.81</v>
      </c>
      <c r="K6" s="1">
        <f>J6</f>
        <v>2603.81</v>
      </c>
      <c r="L6" s="1"/>
      <c r="M6" s="226"/>
      <c r="N6" s="1">
        <v>2949.5200000000004</v>
      </c>
      <c r="O6" s="1">
        <v>2916.9800000000005</v>
      </c>
      <c r="P6" s="1">
        <v>32.54</v>
      </c>
      <c r="Q6" s="226"/>
      <c r="R6" s="1">
        <v>0</v>
      </c>
      <c r="S6" s="1">
        <v>0</v>
      </c>
      <c r="T6" s="1">
        <v>0</v>
      </c>
      <c r="V6" s="4">
        <f t="shared" ref="V6:X69" si="0">F6+N6+R6+J6</f>
        <v>10014.33</v>
      </c>
      <c r="W6" s="4">
        <f t="shared" si="0"/>
        <v>9655.2900000000009</v>
      </c>
      <c r="X6" s="4">
        <f t="shared" si="0"/>
        <v>359.04</v>
      </c>
      <c r="Z6" s="153">
        <f t="shared" ref="Z6:Z69" si="1">F6+J6</f>
        <v>7064.8099999999995</v>
      </c>
      <c r="AB6" s="1">
        <v>0</v>
      </c>
      <c r="AC6" s="1">
        <v>0</v>
      </c>
      <c r="AD6" s="1">
        <v>0</v>
      </c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</row>
    <row r="7" spans="1:49" x14ac:dyDescent="0.2">
      <c r="A7" s="8">
        <v>10180</v>
      </c>
      <c r="B7" s="8" t="s">
        <v>72</v>
      </c>
      <c r="C7" s="8" t="s">
        <v>16</v>
      </c>
      <c r="D7" s="29" t="s">
        <v>1</v>
      </c>
      <c r="E7" s="19"/>
      <c r="F7" s="1">
        <v>2955</v>
      </c>
      <c r="G7" s="1">
        <v>2903</v>
      </c>
      <c r="H7" s="1">
        <v>52</v>
      </c>
      <c r="I7" s="226"/>
      <c r="J7" s="1">
        <v>732.04</v>
      </c>
      <c r="K7" s="1">
        <f t="shared" ref="K7:K70" si="2">J7</f>
        <v>732.04</v>
      </c>
      <c r="L7" s="1"/>
      <c r="M7" s="226"/>
      <c r="N7" s="1">
        <v>0</v>
      </c>
      <c r="O7" s="1">
        <v>0</v>
      </c>
      <c r="P7" s="1">
        <v>0</v>
      </c>
      <c r="Q7" s="226"/>
      <c r="R7" s="1">
        <v>0</v>
      </c>
      <c r="S7" s="1">
        <v>0</v>
      </c>
      <c r="T7" s="1">
        <v>0</v>
      </c>
      <c r="V7" s="4">
        <f t="shared" si="0"/>
        <v>3687.04</v>
      </c>
      <c r="W7" s="4">
        <f t="shared" si="0"/>
        <v>3635.04</v>
      </c>
      <c r="X7" s="4">
        <f t="shared" si="0"/>
        <v>52</v>
      </c>
      <c r="Z7" s="153">
        <f t="shared" si="1"/>
        <v>3687.04</v>
      </c>
      <c r="AB7" s="1">
        <v>0</v>
      </c>
      <c r="AC7" s="1">
        <v>0</v>
      </c>
      <c r="AD7" s="1">
        <v>0</v>
      </c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</row>
    <row r="8" spans="1:49" x14ac:dyDescent="0.2">
      <c r="A8" s="8">
        <v>10250</v>
      </c>
      <c r="B8" s="8" t="s">
        <v>73</v>
      </c>
      <c r="C8" s="8" t="s">
        <v>19</v>
      </c>
      <c r="D8" s="29" t="s">
        <v>3</v>
      </c>
      <c r="E8" s="19"/>
      <c r="F8" s="1">
        <v>4168</v>
      </c>
      <c r="G8" s="1">
        <v>3751</v>
      </c>
      <c r="H8" s="1">
        <v>417</v>
      </c>
      <c r="I8" s="226"/>
      <c r="J8" s="1">
        <v>700.01</v>
      </c>
      <c r="K8" s="1">
        <f t="shared" si="2"/>
        <v>700.01</v>
      </c>
      <c r="L8" s="1"/>
      <c r="M8" s="226"/>
      <c r="N8" s="1">
        <v>1875</v>
      </c>
      <c r="O8" s="1">
        <v>1875</v>
      </c>
      <c r="P8" s="1">
        <v>0</v>
      </c>
      <c r="Q8" s="226"/>
      <c r="R8" s="1">
        <v>0</v>
      </c>
      <c r="S8" s="1">
        <v>0</v>
      </c>
      <c r="T8" s="1">
        <v>0</v>
      </c>
      <c r="V8" s="4">
        <f t="shared" si="0"/>
        <v>6743.01</v>
      </c>
      <c r="W8" s="4">
        <f t="shared" si="0"/>
        <v>6326.01</v>
      </c>
      <c r="X8" s="4">
        <f t="shared" si="0"/>
        <v>417</v>
      </c>
      <c r="Z8" s="153">
        <f t="shared" si="1"/>
        <v>4868.01</v>
      </c>
      <c r="AB8" s="1">
        <v>1</v>
      </c>
      <c r="AC8" s="1">
        <v>1</v>
      </c>
      <c r="AD8" s="1">
        <v>0</v>
      </c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</row>
    <row r="9" spans="1:49" x14ac:dyDescent="0.2">
      <c r="A9" s="8">
        <v>10300</v>
      </c>
      <c r="B9" s="8" t="s">
        <v>74</v>
      </c>
      <c r="C9" s="8" t="s">
        <v>66</v>
      </c>
      <c r="D9" s="29" t="s">
        <v>1</v>
      </c>
      <c r="E9" s="19">
        <v>1</v>
      </c>
      <c r="F9" s="1">
        <v>0</v>
      </c>
      <c r="G9" s="1">
        <v>0</v>
      </c>
      <c r="H9" s="1">
        <v>0</v>
      </c>
      <c r="I9" s="226"/>
      <c r="J9" s="1">
        <v>32.880000000000003</v>
      </c>
      <c r="K9" s="1">
        <f t="shared" si="2"/>
        <v>32.880000000000003</v>
      </c>
      <c r="L9" s="1"/>
      <c r="M9" s="226"/>
      <c r="N9" s="1">
        <v>0</v>
      </c>
      <c r="O9" s="1">
        <v>0</v>
      </c>
      <c r="P9" s="1">
        <v>0</v>
      </c>
      <c r="Q9" s="226"/>
      <c r="R9" s="1">
        <v>0</v>
      </c>
      <c r="S9" s="1">
        <v>0</v>
      </c>
      <c r="T9" s="1">
        <v>0</v>
      </c>
      <c r="V9" s="4">
        <f t="shared" si="0"/>
        <v>32.880000000000003</v>
      </c>
      <c r="W9" s="4">
        <f t="shared" si="0"/>
        <v>32.880000000000003</v>
      </c>
      <c r="X9" s="4">
        <f t="shared" si="0"/>
        <v>0</v>
      </c>
      <c r="Z9" s="153">
        <f t="shared" si="1"/>
        <v>32.880000000000003</v>
      </c>
      <c r="AB9" s="1">
        <v>0</v>
      </c>
      <c r="AC9" s="1">
        <v>0</v>
      </c>
      <c r="AD9" s="1">
        <v>0</v>
      </c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</row>
    <row r="10" spans="1:49" x14ac:dyDescent="0.2">
      <c r="A10" s="8">
        <v>10470</v>
      </c>
      <c r="B10" s="8" t="s">
        <v>75</v>
      </c>
      <c r="C10" s="8" t="s">
        <v>38</v>
      </c>
      <c r="D10" s="29" t="s">
        <v>1</v>
      </c>
      <c r="E10" s="19"/>
      <c r="F10" s="1">
        <v>2179</v>
      </c>
      <c r="G10" s="1">
        <v>1957</v>
      </c>
      <c r="H10" s="1">
        <v>222</v>
      </c>
      <c r="I10" s="226"/>
      <c r="J10" s="1">
        <v>1159.1399999999999</v>
      </c>
      <c r="K10" s="1">
        <f t="shared" si="2"/>
        <v>1159.1399999999999</v>
      </c>
      <c r="L10" s="1"/>
      <c r="M10" s="226"/>
      <c r="N10" s="1">
        <v>1837.5400000000002</v>
      </c>
      <c r="O10" s="1">
        <v>1837.5400000000002</v>
      </c>
      <c r="P10" s="1">
        <v>0</v>
      </c>
      <c r="Q10" s="226"/>
      <c r="R10" s="1">
        <v>0</v>
      </c>
      <c r="S10" s="1">
        <v>0</v>
      </c>
      <c r="T10" s="1">
        <v>0</v>
      </c>
      <c r="V10" s="4">
        <f t="shared" si="0"/>
        <v>5175.68</v>
      </c>
      <c r="W10" s="4">
        <f t="shared" si="0"/>
        <v>4953.68</v>
      </c>
      <c r="X10" s="4">
        <f t="shared" si="0"/>
        <v>222</v>
      </c>
      <c r="Z10" s="153">
        <f t="shared" si="1"/>
        <v>3338.14</v>
      </c>
      <c r="AB10" s="1">
        <v>233.55</v>
      </c>
      <c r="AC10" s="1">
        <v>233.55</v>
      </c>
      <c r="AD10" s="1">
        <v>0</v>
      </c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</row>
    <row r="11" spans="1:49" x14ac:dyDescent="0.2">
      <c r="A11" s="8">
        <v>10500</v>
      </c>
      <c r="B11" s="8" t="s">
        <v>405</v>
      </c>
      <c r="C11" s="8" t="s">
        <v>17</v>
      </c>
      <c r="D11" s="29" t="s">
        <v>2</v>
      </c>
      <c r="E11" s="19"/>
      <c r="F11" s="1">
        <v>9159</v>
      </c>
      <c r="G11" s="1">
        <v>7610</v>
      </c>
      <c r="H11" s="1">
        <v>1549</v>
      </c>
      <c r="I11" s="226"/>
      <c r="J11" s="1">
        <v>4810.0300000000007</v>
      </c>
      <c r="K11" s="1">
        <f t="shared" si="2"/>
        <v>4810.0300000000007</v>
      </c>
      <c r="L11" s="1"/>
      <c r="M11" s="226"/>
      <c r="N11" s="1">
        <v>96.660000000000011</v>
      </c>
      <c r="O11" s="1">
        <v>89.4</v>
      </c>
      <c r="P11" s="1">
        <v>7.26</v>
      </c>
      <c r="Q11" s="226"/>
      <c r="R11" s="1">
        <v>259.02</v>
      </c>
      <c r="S11" s="1">
        <v>115.86999999999998</v>
      </c>
      <c r="T11" s="1">
        <v>143.15</v>
      </c>
      <c r="V11" s="4">
        <f t="shared" si="0"/>
        <v>14324.710000000001</v>
      </c>
      <c r="W11" s="4">
        <f t="shared" si="0"/>
        <v>12625.3</v>
      </c>
      <c r="X11" s="4">
        <f t="shared" si="0"/>
        <v>1699.41</v>
      </c>
      <c r="Z11" s="153">
        <f t="shared" si="1"/>
        <v>13969.03</v>
      </c>
      <c r="AB11" s="1">
        <v>0</v>
      </c>
      <c r="AC11" s="1">
        <v>0</v>
      </c>
      <c r="AD11" s="1">
        <v>0</v>
      </c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</row>
    <row r="12" spans="1:49" x14ac:dyDescent="0.2">
      <c r="A12" s="8">
        <v>10550</v>
      </c>
      <c r="B12" s="8" t="s">
        <v>76</v>
      </c>
      <c r="C12" s="8" t="s">
        <v>67</v>
      </c>
      <c r="D12" s="29" t="s">
        <v>1</v>
      </c>
      <c r="E12" s="19"/>
      <c r="F12" s="1">
        <v>3614</v>
      </c>
      <c r="G12" s="1">
        <v>3213</v>
      </c>
      <c r="H12" s="1">
        <v>401</v>
      </c>
      <c r="I12" s="226"/>
      <c r="J12" s="1">
        <v>698.6</v>
      </c>
      <c r="K12" s="1">
        <f t="shared" si="2"/>
        <v>698.6</v>
      </c>
      <c r="L12" s="1"/>
      <c r="M12" s="226"/>
      <c r="N12" s="1">
        <v>2859</v>
      </c>
      <c r="O12" s="1">
        <v>2859</v>
      </c>
      <c r="P12" s="1">
        <v>0</v>
      </c>
      <c r="Q12" s="226"/>
      <c r="R12" s="1">
        <v>0</v>
      </c>
      <c r="S12" s="1">
        <v>0</v>
      </c>
      <c r="T12" s="1">
        <v>0</v>
      </c>
      <c r="V12" s="4">
        <f t="shared" si="0"/>
        <v>7171.6</v>
      </c>
      <c r="W12" s="4">
        <f t="shared" si="0"/>
        <v>6770.6</v>
      </c>
      <c r="X12" s="4">
        <f t="shared" si="0"/>
        <v>401</v>
      </c>
      <c r="Z12" s="153">
        <f t="shared" si="1"/>
        <v>4312.6000000000004</v>
      </c>
      <c r="AB12" s="1">
        <v>0</v>
      </c>
      <c r="AC12" s="1">
        <v>0</v>
      </c>
      <c r="AD12" s="1">
        <v>0</v>
      </c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</row>
    <row r="13" spans="1:49" x14ac:dyDescent="0.2">
      <c r="A13" s="8">
        <v>10600</v>
      </c>
      <c r="B13" s="8" t="s">
        <v>44</v>
      </c>
      <c r="C13" s="8" t="s">
        <v>39</v>
      </c>
      <c r="D13" s="29" t="s">
        <v>3</v>
      </c>
      <c r="E13" s="19"/>
      <c r="F13" s="1">
        <v>902.12</v>
      </c>
      <c r="G13" s="1">
        <v>786.72</v>
      </c>
      <c r="H13" s="1">
        <v>115.4</v>
      </c>
      <c r="I13" s="226"/>
      <c r="J13" s="1">
        <v>157.01</v>
      </c>
      <c r="K13" s="1">
        <f t="shared" si="2"/>
        <v>157.01</v>
      </c>
      <c r="L13" s="1"/>
      <c r="M13" s="226"/>
      <c r="N13" s="1">
        <v>594.93999999999994</v>
      </c>
      <c r="O13" s="1">
        <v>594.93999999999994</v>
      </c>
      <c r="P13" s="1">
        <v>0</v>
      </c>
      <c r="Q13" s="226"/>
      <c r="R13" s="1">
        <v>28.66</v>
      </c>
      <c r="S13" s="1">
        <v>28.66</v>
      </c>
      <c r="T13" s="1">
        <v>0</v>
      </c>
      <c r="V13" s="4">
        <f t="shared" si="0"/>
        <v>1682.73</v>
      </c>
      <c r="W13" s="4">
        <f t="shared" si="0"/>
        <v>1567.33</v>
      </c>
      <c r="X13" s="4">
        <f t="shared" si="0"/>
        <v>115.4</v>
      </c>
      <c r="Z13" s="153">
        <f t="shared" si="1"/>
        <v>1059.1300000000001</v>
      </c>
      <c r="AB13" s="1">
        <v>0</v>
      </c>
      <c r="AC13" s="1">
        <v>0</v>
      </c>
      <c r="AD13" s="1">
        <v>0</v>
      </c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</row>
    <row r="14" spans="1:49" x14ac:dyDescent="0.2">
      <c r="A14" s="8">
        <v>10650</v>
      </c>
      <c r="B14" s="8" t="s">
        <v>77</v>
      </c>
      <c r="C14" s="8" t="s">
        <v>66</v>
      </c>
      <c r="D14" s="29" t="s">
        <v>1</v>
      </c>
      <c r="E14" s="19"/>
      <c r="F14" s="1">
        <v>536</v>
      </c>
      <c r="G14" s="1">
        <v>536</v>
      </c>
      <c r="H14" s="1">
        <v>0</v>
      </c>
      <c r="I14" s="226"/>
      <c r="J14" s="1">
        <v>547.61</v>
      </c>
      <c r="K14" s="1">
        <f t="shared" si="2"/>
        <v>547.61</v>
      </c>
      <c r="L14" s="1"/>
      <c r="M14" s="226"/>
      <c r="N14" s="1">
        <v>612.79999999999995</v>
      </c>
      <c r="O14" s="1">
        <v>612.79999999999995</v>
      </c>
      <c r="P14" s="1">
        <v>0</v>
      </c>
      <c r="Q14" s="226"/>
      <c r="R14" s="1">
        <v>0</v>
      </c>
      <c r="S14" s="1">
        <v>0</v>
      </c>
      <c r="T14" s="1">
        <v>0</v>
      </c>
      <c r="V14" s="4">
        <f t="shared" si="0"/>
        <v>1696.4099999999999</v>
      </c>
      <c r="W14" s="4">
        <f t="shared" si="0"/>
        <v>1696.4099999999999</v>
      </c>
      <c r="X14" s="4">
        <f t="shared" si="0"/>
        <v>0</v>
      </c>
      <c r="Z14" s="153">
        <f t="shared" si="1"/>
        <v>1083.6100000000001</v>
      </c>
      <c r="AB14" s="1">
        <v>0</v>
      </c>
      <c r="AC14" s="1">
        <v>0</v>
      </c>
      <c r="AD14" s="1">
        <v>0</v>
      </c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</row>
    <row r="15" spans="1:49" x14ac:dyDescent="0.2">
      <c r="A15" s="8">
        <v>10750</v>
      </c>
      <c r="B15" s="8" t="s">
        <v>45</v>
      </c>
      <c r="C15" s="8" t="s">
        <v>18</v>
      </c>
      <c r="D15" s="29" t="s">
        <v>2</v>
      </c>
      <c r="E15" s="19"/>
      <c r="F15" s="1">
        <v>20237</v>
      </c>
      <c r="G15" s="1">
        <v>18744</v>
      </c>
      <c r="H15" s="1">
        <v>1493</v>
      </c>
      <c r="I15" s="226"/>
      <c r="J15" s="1">
        <v>6139.4</v>
      </c>
      <c r="K15" s="1">
        <f t="shared" si="2"/>
        <v>6139.4</v>
      </c>
      <c r="L15" s="1"/>
      <c r="M15" s="226"/>
      <c r="N15" s="1">
        <v>0</v>
      </c>
      <c r="O15" s="1">
        <v>0</v>
      </c>
      <c r="P15" s="1">
        <v>0</v>
      </c>
      <c r="Q15" s="226"/>
      <c r="R15" s="1">
        <v>946</v>
      </c>
      <c r="S15" s="1">
        <v>946</v>
      </c>
      <c r="T15" s="1">
        <v>0</v>
      </c>
      <c r="V15" s="4">
        <f t="shared" si="0"/>
        <v>27322.400000000001</v>
      </c>
      <c r="W15" s="4">
        <f t="shared" si="0"/>
        <v>25829.4</v>
      </c>
      <c r="X15" s="4">
        <f t="shared" si="0"/>
        <v>1493</v>
      </c>
      <c r="Z15" s="153">
        <f t="shared" si="1"/>
        <v>26376.400000000001</v>
      </c>
      <c r="AB15" s="1">
        <v>0</v>
      </c>
      <c r="AC15" s="1">
        <v>0</v>
      </c>
      <c r="AD15" s="1">
        <v>0</v>
      </c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</row>
    <row r="16" spans="1:49" x14ac:dyDescent="0.2">
      <c r="A16" s="8">
        <v>10800</v>
      </c>
      <c r="B16" s="8" t="s">
        <v>78</v>
      </c>
      <c r="C16" s="8" t="s">
        <v>21</v>
      </c>
      <c r="D16" s="29" t="s">
        <v>1</v>
      </c>
      <c r="E16" s="19">
        <v>1</v>
      </c>
      <c r="F16" s="1">
        <v>0</v>
      </c>
      <c r="G16" s="1">
        <v>0</v>
      </c>
      <c r="H16" s="1">
        <v>0</v>
      </c>
      <c r="I16" s="226"/>
      <c r="J16" s="1">
        <v>117.15</v>
      </c>
      <c r="K16" s="1">
        <f t="shared" si="2"/>
        <v>117.15</v>
      </c>
      <c r="L16" s="1"/>
      <c r="M16" s="226"/>
      <c r="N16" s="1">
        <v>127</v>
      </c>
      <c r="O16" s="1">
        <v>127</v>
      </c>
      <c r="P16" s="1">
        <v>0</v>
      </c>
      <c r="Q16" s="226"/>
      <c r="R16" s="1">
        <v>0</v>
      </c>
      <c r="S16" s="1">
        <v>0</v>
      </c>
      <c r="T16" s="1">
        <v>0</v>
      </c>
      <c r="V16" s="4">
        <f t="shared" si="0"/>
        <v>244.15</v>
      </c>
      <c r="W16" s="4">
        <f t="shared" si="0"/>
        <v>244.15</v>
      </c>
      <c r="X16" s="4">
        <f t="shared" si="0"/>
        <v>0</v>
      </c>
      <c r="Z16" s="153">
        <f t="shared" si="1"/>
        <v>117.15</v>
      </c>
      <c r="AB16" s="1">
        <v>0</v>
      </c>
      <c r="AC16" s="1">
        <v>0</v>
      </c>
      <c r="AD16" s="1">
        <v>0</v>
      </c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</row>
    <row r="17" spans="1:49" x14ac:dyDescent="0.2">
      <c r="A17" s="8">
        <v>10850</v>
      </c>
      <c r="B17" s="8" t="s">
        <v>79</v>
      </c>
      <c r="C17" s="8" t="s">
        <v>38</v>
      </c>
      <c r="D17" s="29" t="s">
        <v>1</v>
      </c>
      <c r="E17" s="19"/>
      <c r="F17" s="1">
        <v>451.3</v>
      </c>
      <c r="G17" s="1">
        <v>451.3</v>
      </c>
      <c r="H17" s="1">
        <v>0</v>
      </c>
      <c r="I17" s="226"/>
      <c r="J17" s="1">
        <v>97.45</v>
      </c>
      <c r="K17" s="1">
        <f t="shared" si="2"/>
        <v>97.45</v>
      </c>
      <c r="L17" s="1"/>
      <c r="M17" s="226"/>
      <c r="N17" s="1">
        <v>713.12</v>
      </c>
      <c r="O17" s="1">
        <v>713.12</v>
      </c>
      <c r="P17" s="1">
        <v>0</v>
      </c>
      <c r="Q17" s="226"/>
      <c r="R17" s="1">
        <v>0</v>
      </c>
      <c r="S17" s="1">
        <v>0</v>
      </c>
      <c r="T17" s="1">
        <v>0</v>
      </c>
      <c r="V17" s="4">
        <f t="shared" si="0"/>
        <v>1261.8700000000001</v>
      </c>
      <c r="W17" s="4">
        <f t="shared" si="0"/>
        <v>1261.8700000000001</v>
      </c>
      <c r="X17" s="4">
        <f t="shared" si="0"/>
        <v>0</v>
      </c>
      <c r="Z17" s="153">
        <f t="shared" si="1"/>
        <v>548.75</v>
      </c>
      <c r="AB17" s="1">
        <v>0</v>
      </c>
      <c r="AC17" s="1">
        <v>0</v>
      </c>
      <c r="AD17" s="1">
        <v>0</v>
      </c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</row>
    <row r="18" spans="1:49" x14ac:dyDescent="0.2">
      <c r="A18" s="8">
        <v>10900</v>
      </c>
      <c r="B18" s="8" t="s">
        <v>80</v>
      </c>
      <c r="C18" s="8" t="s">
        <v>18</v>
      </c>
      <c r="D18" s="29" t="s">
        <v>3</v>
      </c>
      <c r="E18" s="19"/>
      <c r="F18" s="1">
        <v>6541.59</v>
      </c>
      <c r="G18" s="1">
        <v>5833.14</v>
      </c>
      <c r="H18" s="1">
        <v>708.45</v>
      </c>
      <c r="I18" s="226"/>
      <c r="J18" s="1">
        <v>500.22</v>
      </c>
      <c r="K18" s="1">
        <f t="shared" si="2"/>
        <v>500.22</v>
      </c>
      <c r="L18" s="1"/>
      <c r="M18" s="226"/>
      <c r="N18" s="1">
        <v>1979.92</v>
      </c>
      <c r="O18" s="1">
        <v>1876.92</v>
      </c>
      <c r="P18" s="1">
        <v>103</v>
      </c>
      <c r="Q18" s="226"/>
      <c r="R18" s="1">
        <v>0</v>
      </c>
      <c r="S18" s="1">
        <v>0</v>
      </c>
      <c r="T18" s="1">
        <v>0</v>
      </c>
      <c r="V18" s="4">
        <f t="shared" si="0"/>
        <v>9021.73</v>
      </c>
      <c r="W18" s="4">
        <f t="shared" si="0"/>
        <v>8210.2800000000007</v>
      </c>
      <c r="X18" s="4">
        <f t="shared" si="0"/>
        <v>811.45</v>
      </c>
      <c r="Z18" s="153">
        <f t="shared" si="1"/>
        <v>7041.81</v>
      </c>
      <c r="AB18" s="1">
        <v>0</v>
      </c>
      <c r="AC18" s="1">
        <v>0</v>
      </c>
      <c r="AD18" s="1">
        <v>0</v>
      </c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</row>
    <row r="19" spans="1:49" x14ac:dyDescent="0.2">
      <c r="A19" s="8">
        <v>10950</v>
      </c>
      <c r="B19" s="8" t="s">
        <v>81</v>
      </c>
      <c r="C19" s="8" t="s">
        <v>38</v>
      </c>
      <c r="D19" s="29" t="s">
        <v>1</v>
      </c>
      <c r="E19" s="19"/>
      <c r="F19" s="1">
        <v>92.5</v>
      </c>
      <c r="G19" s="1">
        <v>71.84</v>
      </c>
      <c r="H19" s="1">
        <v>20.66</v>
      </c>
      <c r="I19" s="226"/>
      <c r="J19" s="1">
        <v>47.17</v>
      </c>
      <c r="K19" s="1">
        <f t="shared" si="2"/>
        <v>47.17</v>
      </c>
      <c r="L19" s="1"/>
      <c r="M19" s="226"/>
      <c r="N19" s="1">
        <v>110.03999999999999</v>
      </c>
      <c r="O19" s="1">
        <v>110.03999999999999</v>
      </c>
      <c r="P19" s="1">
        <v>0</v>
      </c>
      <c r="Q19" s="226"/>
      <c r="R19" s="1">
        <v>0</v>
      </c>
      <c r="S19" s="1">
        <v>0</v>
      </c>
      <c r="T19" s="1">
        <v>0</v>
      </c>
      <c r="V19" s="4">
        <f t="shared" si="0"/>
        <v>249.70999999999998</v>
      </c>
      <c r="W19" s="4">
        <f t="shared" si="0"/>
        <v>229.05</v>
      </c>
      <c r="X19" s="4">
        <f t="shared" si="0"/>
        <v>20.66</v>
      </c>
      <c r="Z19" s="153">
        <f t="shared" si="1"/>
        <v>139.67000000000002</v>
      </c>
      <c r="AB19" s="1">
        <v>0</v>
      </c>
      <c r="AC19" s="1">
        <v>0</v>
      </c>
      <c r="AD19" s="1">
        <v>0</v>
      </c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</row>
    <row r="20" spans="1:49" x14ac:dyDescent="0.2">
      <c r="A20" s="8">
        <v>11150</v>
      </c>
      <c r="B20" s="8" t="s">
        <v>82</v>
      </c>
      <c r="C20" s="8" t="s">
        <v>38</v>
      </c>
      <c r="D20" s="29" t="s">
        <v>1</v>
      </c>
      <c r="E20" s="19">
        <v>1</v>
      </c>
      <c r="F20" s="1">
        <v>0</v>
      </c>
      <c r="G20" s="1">
        <v>0</v>
      </c>
      <c r="H20" s="1">
        <v>0</v>
      </c>
      <c r="I20" s="226"/>
      <c r="J20" s="1">
        <v>53.230000000000004</v>
      </c>
      <c r="K20" s="1">
        <f t="shared" si="2"/>
        <v>53.230000000000004</v>
      </c>
      <c r="L20" s="1"/>
      <c r="M20" s="226"/>
      <c r="N20" s="1">
        <v>0</v>
      </c>
      <c r="O20" s="1">
        <v>0</v>
      </c>
      <c r="P20" s="1">
        <v>0</v>
      </c>
      <c r="Q20" s="226"/>
      <c r="R20" s="1">
        <v>0</v>
      </c>
      <c r="S20" s="1">
        <v>0</v>
      </c>
      <c r="T20" s="1">
        <v>0</v>
      </c>
      <c r="V20" s="4">
        <f t="shared" si="0"/>
        <v>53.230000000000004</v>
      </c>
      <c r="W20" s="4">
        <f t="shared" si="0"/>
        <v>53.230000000000004</v>
      </c>
      <c r="X20" s="4">
        <f t="shared" si="0"/>
        <v>0</v>
      </c>
      <c r="Z20" s="153">
        <f t="shared" si="1"/>
        <v>53.230000000000004</v>
      </c>
      <c r="AB20" s="1">
        <v>0</v>
      </c>
      <c r="AC20" s="1">
        <v>0</v>
      </c>
      <c r="AD20" s="1">
        <v>0</v>
      </c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</row>
    <row r="21" spans="1:49" x14ac:dyDescent="0.2">
      <c r="A21" s="8">
        <v>11200</v>
      </c>
      <c r="B21" s="8" t="s">
        <v>83</v>
      </c>
      <c r="C21" s="8" t="s">
        <v>38</v>
      </c>
      <c r="D21" s="29" t="s">
        <v>1</v>
      </c>
      <c r="E21" s="19">
        <v>1</v>
      </c>
      <c r="F21" s="1">
        <v>0</v>
      </c>
      <c r="G21" s="1">
        <v>0</v>
      </c>
      <c r="H21" s="1">
        <v>0</v>
      </c>
      <c r="I21" s="226"/>
      <c r="J21" s="1">
        <v>2.29</v>
      </c>
      <c r="K21" s="1">
        <f t="shared" si="2"/>
        <v>2.29</v>
      </c>
      <c r="L21" s="1"/>
      <c r="M21" s="226"/>
      <c r="N21" s="1">
        <v>34</v>
      </c>
      <c r="O21" s="1">
        <v>34</v>
      </c>
      <c r="P21" s="1">
        <v>0</v>
      </c>
      <c r="Q21" s="226"/>
      <c r="R21" s="1">
        <v>22</v>
      </c>
      <c r="S21" s="1">
        <v>22</v>
      </c>
      <c r="T21" s="1">
        <v>0</v>
      </c>
      <c r="V21" s="4">
        <f t="shared" si="0"/>
        <v>58.29</v>
      </c>
      <c r="W21" s="4">
        <f t="shared" si="0"/>
        <v>58.29</v>
      </c>
      <c r="X21" s="4">
        <f t="shared" si="0"/>
        <v>0</v>
      </c>
      <c r="Z21" s="153">
        <f t="shared" si="1"/>
        <v>2.29</v>
      </c>
      <c r="AB21" s="1">
        <v>0</v>
      </c>
      <c r="AC21" s="1">
        <v>0</v>
      </c>
      <c r="AD21" s="1">
        <v>0</v>
      </c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</row>
    <row r="22" spans="1:49" x14ac:dyDescent="0.2">
      <c r="A22" s="8">
        <v>11250</v>
      </c>
      <c r="B22" s="8" t="s">
        <v>84</v>
      </c>
      <c r="C22" s="8" t="s">
        <v>38</v>
      </c>
      <c r="D22" s="29" t="s">
        <v>1</v>
      </c>
      <c r="E22" s="19">
        <v>1</v>
      </c>
      <c r="F22" s="1">
        <v>0</v>
      </c>
      <c r="G22" s="1">
        <v>0</v>
      </c>
      <c r="H22" s="1">
        <v>0</v>
      </c>
      <c r="I22" s="226"/>
      <c r="J22" s="1">
        <v>605.54</v>
      </c>
      <c r="K22" s="1">
        <f t="shared" si="2"/>
        <v>605.54</v>
      </c>
      <c r="L22" s="1"/>
      <c r="M22" s="226"/>
      <c r="N22" s="1">
        <v>914.38</v>
      </c>
      <c r="O22" s="1">
        <v>11.940000000000055</v>
      </c>
      <c r="P22" s="1">
        <v>902.43999999999994</v>
      </c>
      <c r="Q22" s="226"/>
      <c r="R22" s="1">
        <v>0</v>
      </c>
      <c r="S22" s="1">
        <v>0</v>
      </c>
      <c r="T22" s="1">
        <v>0</v>
      </c>
      <c r="V22" s="4">
        <f t="shared" si="0"/>
        <v>1519.92</v>
      </c>
      <c r="W22" s="4">
        <f t="shared" si="0"/>
        <v>617.48</v>
      </c>
      <c r="X22" s="4">
        <f t="shared" si="0"/>
        <v>902.43999999999994</v>
      </c>
      <c r="Z22" s="153">
        <f t="shared" si="1"/>
        <v>605.54</v>
      </c>
      <c r="AB22" s="1">
        <v>0</v>
      </c>
      <c r="AC22" s="1">
        <v>0</v>
      </c>
      <c r="AD22" s="1">
        <v>0</v>
      </c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</row>
    <row r="23" spans="1:49" x14ac:dyDescent="0.2">
      <c r="A23" s="8">
        <v>11300</v>
      </c>
      <c r="B23" s="8" t="s">
        <v>85</v>
      </c>
      <c r="C23" s="8" t="s">
        <v>17</v>
      </c>
      <c r="D23" s="29" t="s">
        <v>2</v>
      </c>
      <c r="E23" s="19"/>
      <c r="F23" s="1">
        <v>1979.79</v>
      </c>
      <c r="G23" s="1">
        <v>1765.3799999999999</v>
      </c>
      <c r="H23" s="1">
        <v>214.41</v>
      </c>
      <c r="I23" s="226"/>
      <c r="J23" s="1">
        <v>0.49</v>
      </c>
      <c r="K23" s="1">
        <f t="shared" si="2"/>
        <v>0.49</v>
      </c>
      <c r="L23" s="1"/>
      <c r="M23" s="226"/>
      <c r="N23" s="1">
        <v>15.75</v>
      </c>
      <c r="O23" s="1">
        <v>15.75</v>
      </c>
      <c r="P23" s="1">
        <v>0</v>
      </c>
      <c r="Q23" s="226"/>
      <c r="R23" s="1">
        <v>102.72</v>
      </c>
      <c r="S23" s="1">
        <v>92.72</v>
      </c>
      <c r="T23" s="1">
        <v>10</v>
      </c>
      <c r="V23" s="4">
        <f t="shared" si="0"/>
        <v>2098.7499999999995</v>
      </c>
      <c r="W23" s="4">
        <f t="shared" si="0"/>
        <v>1874.34</v>
      </c>
      <c r="X23" s="4">
        <f t="shared" si="0"/>
        <v>224.41</v>
      </c>
      <c r="Z23" s="153">
        <f t="shared" si="1"/>
        <v>1980.28</v>
      </c>
      <c r="AB23" s="1">
        <v>0</v>
      </c>
      <c r="AC23" s="1">
        <v>0</v>
      </c>
      <c r="AD23" s="1">
        <v>0</v>
      </c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</row>
    <row r="24" spans="1:49" x14ac:dyDescent="0.2">
      <c r="A24" s="8">
        <v>11350</v>
      </c>
      <c r="B24" s="8" t="s">
        <v>86</v>
      </c>
      <c r="C24" s="8" t="s">
        <v>19</v>
      </c>
      <c r="D24" s="29" t="s">
        <v>3</v>
      </c>
      <c r="E24" s="19"/>
      <c r="F24" s="1">
        <v>4601</v>
      </c>
      <c r="G24" s="1">
        <v>4601</v>
      </c>
      <c r="H24" s="1">
        <v>0</v>
      </c>
      <c r="I24" s="226"/>
      <c r="J24" s="1">
        <v>702.58</v>
      </c>
      <c r="K24" s="1">
        <f t="shared" si="2"/>
        <v>702.58</v>
      </c>
      <c r="L24" s="1"/>
      <c r="M24" s="226"/>
      <c r="N24" s="1">
        <v>1181.1899999999998</v>
      </c>
      <c r="O24" s="1">
        <v>1167.7699999999998</v>
      </c>
      <c r="P24" s="1">
        <v>13.42</v>
      </c>
      <c r="Q24" s="226"/>
      <c r="R24" s="1">
        <v>0</v>
      </c>
      <c r="S24" s="1">
        <v>0</v>
      </c>
      <c r="T24" s="1">
        <v>0</v>
      </c>
      <c r="V24" s="4">
        <f t="shared" si="0"/>
        <v>6484.7699999999995</v>
      </c>
      <c r="W24" s="4">
        <f t="shared" si="0"/>
        <v>6471.3499999999995</v>
      </c>
      <c r="X24" s="4">
        <f t="shared" si="0"/>
        <v>13.42</v>
      </c>
      <c r="Z24" s="153">
        <f t="shared" si="1"/>
        <v>5303.58</v>
      </c>
      <c r="AB24" s="1">
        <v>15.32</v>
      </c>
      <c r="AC24" s="1">
        <v>0.32000000000000028</v>
      </c>
      <c r="AD24" s="1">
        <v>15</v>
      </c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</row>
    <row r="25" spans="1:49" x14ac:dyDescent="0.2">
      <c r="A25" s="8">
        <v>11400</v>
      </c>
      <c r="B25" s="8" t="s">
        <v>87</v>
      </c>
      <c r="C25" s="8" t="s">
        <v>38</v>
      </c>
      <c r="D25" s="29" t="s">
        <v>1</v>
      </c>
      <c r="E25" s="19"/>
      <c r="F25" s="1">
        <v>587.41</v>
      </c>
      <c r="G25" s="1">
        <v>587.41</v>
      </c>
      <c r="H25" s="1">
        <v>0</v>
      </c>
      <c r="I25" s="226"/>
      <c r="J25" s="1">
        <v>18.439999999999998</v>
      </c>
      <c r="K25" s="1">
        <f t="shared" si="2"/>
        <v>18.439999999999998</v>
      </c>
      <c r="L25" s="1"/>
      <c r="M25" s="226"/>
      <c r="N25" s="1">
        <v>997.06999999999994</v>
      </c>
      <c r="O25" s="1">
        <v>997.06999999999994</v>
      </c>
      <c r="P25" s="1">
        <v>0</v>
      </c>
      <c r="Q25" s="226"/>
      <c r="R25" s="1">
        <v>34</v>
      </c>
      <c r="S25" s="1">
        <v>34</v>
      </c>
      <c r="T25" s="1">
        <v>0</v>
      </c>
      <c r="V25" s="4">
        <f t="shared" si="0"/>
        <v>1636.92</v>
      </c>
      <c r="W25" s="4">
        <f t="shared" si="0"/>
        <v>1636.92</v>
      </c>
      <c r="X25" s="4">
        <f t="shared" si="0"/>
        <v>0</v>
      </c>
      <c r="Z25" s="153">
        <f t="shared" si="1"/>
        <v>605.84999999999991</v>
      </c>
      <c r="AB25" s="1">
        <v>0</v>
      </c>
      <c r="AC25" s="1">
        <v>0</v>
      </c>
      <c r="AD25" s="1">
        <v>0</v>
      </c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</row>
    <row r="26" spans="1:49" x14ac:dyDescent="0.2">
      <c r="A26" s="8">
        <v>11450</v>
      </c>
      <c r="B26" s="8" t="s">
        <v>69</v>
      </c>
      <c r="C26" s="8" t="s">
        <v>182</v>
      </c>
      <c r="D26" s="29" t="s">
        <v>2</v>
      </c>
      <c r="E26" s="19"/>
      <c r="F26" s="1">
        <v>10838.62</v>
      </c>
      <c r="G26" s="1">
        <v>8045.880000000001</v>
      </c>
      <c r="H26" s="1">
        <v>2792.74</v>
      </c>
      <c r="I26" s="226"/>
      <c r="J26" s="1">
        <v>2824.34</v>
      </c>
      <c r="K26" s="1">
        <f t="shared" si="2"/>
        <v>2824.34</v>
      </c>
      <c r="L26" s="1"/>
      <c r="M26" s="226"/>
      <c r="N26" s="1">
        <v>1.1399999999999999</v>
      </c>
      <c r="O26" s="1">
        <v>1.1399999999999999</v>
      </c>
      <c r="P26" s="1">
        <v>0</v>
      </c>
      <c r="Q26" s="226"/>
      <c r="R26" s="1">
        <v>0</v>
      </c>
      <c r="S26" s="1">
        <v>0</v>
      </c>
      <c r="T26" s="1">
        <v>0</v>
      </c>
      <c r="V26" s="4">
        <f t="shared" si="0"/>
        <v>13664.1</v>
      </c>
      <c r="W26" s="4">
        <f t="shared" si="0"/>
        <v>10871.36</v>
      </c>
      <c r="X26" s="4">
        <f t="shared" si="0"/>
        <v>2792.74</v>
      </c>
      <c r="Z26" s="153">
        <f t="shared" si="1"/>
        <v>13662.960000000001</v>
      </c>
      <c r="AB26" s="1">
        <v>0</v>
      </c>
      <c r="AC26" s="1">
        <v>0</v>
      </c>
      <c r="AD26" s="1">
        <v>0</v>
      </c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</row>
    <row r="27" spans="1:49" x14ac:dyDescent="0.2">
      <c r="A27" s="8">
        <v>11500</v>
      </c>
      <c r="B27" s="8" t="s">
        <v>46</v>
      </c>
      <c r="C27" s="8" t="s">
        <v>182</v>
      </c>
      <c r="D27" s="29" t="s">
        <v>2</v>
      </c>
      <c r="E27" s="19"/>
      <c r="F27" s="1">
        <v>11434.42</v>
      </c>
      <c r="G27" s="1">
        <v>8483.5</v>
      </c>
      <c r="H27" s="1">
        <v>2950.92</v>
      </c>
      <c r="I27" s="226"/>
      <c r="J27" s="1">
        <v>2087.04</v>
      </c>
      <c r="K27" s="1">
        <f t="shared" si="2"/>
        <v>2087.04</v>
      </c>
      <c r="L27" s="1"/>
      <c r="M27" s="226"/>
      <c r="N27" s="1">
        <v>66.500000000000014</v>
      </c>
      <c r="O27" s="1">
        <v>66.500000000000014</v>
      </c>
      <c r="P27" s="1">
        <v>0</v>
      </c>
      <c r="Q27" s="226"/>
      <c r="R27" s="1">
        <v>0</v>
      </c>
      <c r="S27" s="1">
        <v>0</v>
      </c>
      <c r="T27" s="1">
        <v>0</v>
      </c>
      <c r="V27" s="4">
        <f t="shared" si="0"/>
        <v>13587.96</v>
      </c>
      <c r="W27" s="4">
        <f t="shared" si="0"/>
        <v>10637.04</v>
      </c>
      <c r="X27" s="4">
        <f t="shared" si="0"/>
        <v>2950.92</v>
      </c>
      <c r="Z27" s="153">
        <f t="shared" si="1"/>
        <v>13521.46</v>
      </c>
      <c r="AB27" s="1">
        <v>0</v>
      </c>
      <c r="AC27" s="1">
        <v>0</v>
      </c>
      <c r="AD27" s="1">
        <v>0</v>
      </c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</row>
    <row r="28" spans="1:49" x14ac:dyDescent="0.2">
      <c r="A28" s="8">
        <v>11520</v>
      </c>
      <c r="B28" s="8" t="s">
        <v>88</v>
      </c>
      <c r="C28" s="8" t="s">
        <v>17</v>
      </c>
      <c r="D28" s="29" t="s">
        <v>2</v>
      </c>
      <c r="E28" s="19"/>
      <c r="F28" s="1">
        <v>6375</v>
      </c>
      <c r="G28" s="1">
        <v>5704.35</v>
      </c>
      <c r="H28" s="1">
        <v>670.65</v>
      </c>
      <c r="I28" s="226"/>
      <c r="J28" s="1">
        <v>2280.83</v>
      </c>
      <c r="K28" s="1">
        <f t="shared" si="2"/>
        <v>2280.83</v>
      </c>
      <c r="L28" s="1"/>
      <c r="M28" s="226"/>
      <c r="N28" s="1">
        <v>323.94</v>
      </c>
      <c r="O28" s="1">
        <v>323.94</v>
      </c>
      <c r="P28" s="1">
        <v>0</v>
      </c>
      <c r="Q28" s="226"/>
      <c r="R28" s="1">
        <v>239</v>
      </c>
      <c r="S28" s="1">
        <v>239</v>
      </c>
      <c r="T28" s="1">
        <v>0</v>
      </c>
      <c r="V28" s="4">
        <f t="shared" si="0"/>
        <v>9218.77</v>
      </c>
      <c r="W28" s="4">
        <f t="shared" si="0"/>
        <v>8548.119999999999</v>
      </c>
      <c r="X28" s="4">
        <f t="shared" si="0"/>
        <v>670.65</v>
      </c>
      <c r="Z28" s="153">
        <f t="shared" si="1"/>
        <v>8655.83</v>
      </c>
      <c r="AB28" s="1">
        <v>0</v>
      </c>
      <c r="AC28" s="1">
        <v>0</v>
      </c>
      <c r="AD28" s="1">
        <v>0</v>
      </c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</row>
    <row r="29" spans="1:49" x14ac:dyDescent="0.2">
      <c r="A29" s="8">
        <v>11570</v>
      </c>
      <c r="B29" s="8" t="s">
        <v>89</v>
      </c>
      <c r="C29" s="8" t="s">
        <v>17</v>
      </c>
      <c r="D29" s="29" t="s">
        <v>2</v>
      </c>
      <c r="E29" s="19"/>
      <c r="F29" s="1">
        <v>20770</v>
      </c>
      <c r="G29" s="1">
        <v>20770</v>
      </c>
      <c r="H29" s="1">
        <v>0</v>
      </c>
      <c r="I29" s="226"/>
      <c r="J29" s="1">
        <v>5128.26</v>
      </c>
      <c r="K29" s="1">
        <f t="shared" si="2"/>
        <v>5128.26</v>
      </c>
      <c r="L29" s="1"/>
      <c r="M29" s="226"/>
      <c r="N29" s="1">
        <v>0</v>
      </c>
      <c r="O29" s="1">
        <v>0</v>
      </c>
      <c r="P29" s="1">
        <v>0</v>
      </c>
      <c r="Q29" s="226"/>
      <c r="R29" s="1">
        <v>533</v>
      </c>
      <c r="S29" s="1">
        <v>533</v>
      </c>
      <c r="T29" s="1">
        <v>0</v>
      </c>
      <c r="V29" s="4">
        <f t="shared" si="0"/>
        <v>26431.260000000002</v>
      </c>
      <c r="W29" s="4">
        <f t="shared" si="0"/>
        <v>26431.260000000002</v>
      </c>
      <c r="X29" s="4">
        <f t="shared" si="0"/>
        <v>0</v>
      </c>
      <c r="Z29" s="153">
        <f t="shared" si="1"/>
        <v>25898.260000000002</v>
      </c>
      <c r="AB29" s="1">
        <v>0</v>
      </c>
      <c r="AC29" s="1">
        <v>0</v>
      </c>
      <c r="AD29" s="1">
        <v>0</v>
      </c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</row>
    <row r="30" spans="1:49" x14ac:dyDescent="0.2">
      <c r="A30" s="8">
        <v>11600</v>
      </c>
      <c r="B30" s="8" t="s">
        <v>90</v>
      </c>
      <c r="C30" s="8" t="s">
        <v>68</v>
      </c>
      <c r="D30" s="29" t="s">
        <v>1</v>
      </c>
      <c r="E30" s="19">
        <v>1</v>
      </c>
      <c r="F30" s="1">
        <v>0</v>
      </c>
      <c r="G30" s="1">
        <v>0</v>
      </c>
      <c r="H30" s="1">
        <v>0</v>
      </c>
      <c r="I30" s="226"/>
      <c r="J30" s="1">
        <v>5.0199999999999996</v>
      </c>
      <c r="K30" s="1">
        <f t="shared" si="2"/>
        <v>5.0199999999999996</v>
      </c>
      <c r="L30" s="1"/>
      <c r="M30" s="226"/>
      <c r="N30" s="1">
        <v>0</v>
      </c>
      <c r="O30" s="1">
        <v>0</v>
      </c>
      <c r="P30" s="1">
        <v>0</v>
      </c>
      <c r="Q30" s="226"/>
      <c r="R30" s="1">
        <v>0</v>
      </c>
      <c r="S30" s="1">
        <v>0</v>
      </c>
      <c r="T30" s="1">
        <v>0</v>
      </c>
      <c r="V30" s="4">
        <f t="shared" si="0"/>
        <v>5.0199999999999996</v>
      </c>
      <c r="W30" s="4">
        <f t="shared" si="0"/>
        <v>5.0199999999999996</v>
      </c>
      <c r="X30" s="4">
        <f t="shared" si="0"/>
        <v>0</v>
      </c>
      <c r="Z30" s="153">
        <f t="shared" si="1"/>
        <v>5.0199999999999996</v>
      </c>
      <c r="AB30" s="1">
        <v>0</v>
      </c>
      <c r="AC30" s="1">
        <v>0</v>
      </c>
      <c r="AD30" s="1">
        <v>0</v>
      </c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</row>
    <row r="31" spans="1:49" x14ac:dyDescent="0.2">
      <c r="A31" s="8">
        <v>11650</v>
      </c>
      <c r="B31" s="8" t="s">
        <v>91</v>
      </c>
      <c r="C31" s="8" t="s">
        <v>23</v>
      </c>
      <c r="D31" s="29" t="s">
        <v>2</v>
      </c>
      <c r="E31" s="19"/>
      <c r="F31" s="1">
        <v>26753</v>
      </c>
      <c r="G31" s="1">
        <v>24933</v>
      </c>
      <c r="H31" s="1">
        <v>1820</v>
      </c>
      <c r="I31" s="226"/>
      <c r="J31" s="1">
        <v>6123.99</v>
      </c>
      <c r="K31" s="1">
        <f t="shared" si="2"/>
        <v>6123.99</v>
      </c>
      <c r="L31" s="1"/>
      <c r="M31" s="226"/>
      <c r="N31" s="1">
        <v>3116</v>
      </c>
      <c r="O31" s="1">
        <v>3011</v>
      </c>
      <c r="P31" s="1">
        <v>105</v>
      </c>
      <c r="Q31" s="226"/>
      <c r="R31" s="1">
        <v>1782</v>
      </c>
      <c r="S31" s="1">
        <v>1782</v>
      </c>
      <c r="T31" s="1">
        <v>0</v>
      </c>
      <c r="V31" s="4">
        <f t="shared" si="0"/>
        <v>37774.99</v>
      </c>
      <c r="W31" s="4">
        <f t="shared" si="0"/>
        <v>35849.99</v>
      </c>
      <c r="X31" s="4">
        <f t="shared" si="0"/>
        <v>1925</v>
      </c>
      <c r="Z31" s="153">
        <f t="shared" si="1"/>
        <v>32876.99</v>
      </c>
      <c r="AB31" s="1">
        <v>0</v>
      </c>
      <c r="AC31" s="1">
        <v>0</v>
      </c>
      <c r="AD31" s="1">
        <v>0</v>
      </c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</row>
    <row r="32" spans="1:49" x14ac:dyDescent="0.2">
      <c r="A32" s="8">
        <v>11700</v>
      </c>
      <c r="B32" s="8" t="s">
        <v>92</v>
      </c>
      <c r="C32" s="8" t="s">
        <v>38</v>
      </c>
      <c r="D32" s="29" t="s">
        <v>1</v>
      </c>
      <c r="E32" s="19">
        <v>1</v>
      </c>
      <c r="F32" s="1">
        <v>0</v>
      </c>
      <c r="G32" s="1">
        <v>0</v>
      </c>
      <c r="H32" s="1">
        <v>0</v>
      </c>
      <c r="I32" s="226"/>
      <c r="J32" s="1">
        <v>11.05</v>
      </c>
      <c r="K32" s="1">
        <f t="shared" si="2"/>
        <v>11.05</v>
      </c>
      <c r="L32" s="1"/>
      <c r="M32" s="226"/>
      <c r="N32" s="1">
        <v>171</v>
      </c>
      <c r="O32" s="1">
        <v>171</v>
      </c>
      <c r="P32" s="1">
        <v>0</v>
      </c>
      <c r="Q32" s="226"/>
      <c r="R32" s="1">
        <v>10</v>
      </c>
      <c r="S32" s="1">
        <v>10</v>
      </c>
      <c r="T32" s="1">
        <v>0</v>
      </c>
      <c r="V32" s="4">
        <f t="shared" si="0"/>
        <v>192.05</v>
      </c>
      <c r="W32" s="4">
        <f t="shared" si="0"/>
        <v>192.05</v>
      </c>
      <c r="X32" s="4">
        <f t="shared" si="0"/>
        <v>0</v>
      </c>
      <c r="Z32" s="153">
        <f t="shared" si="1"/>
        <v>11.05</v>
      </c>
      <c r="AB32" s="1">
        <v>0</v>
      </c>
      <c r="AC32" s="1">
        <v>0</v>
      </c>
      <c r="AD32" s="1">
        <v>0</v>
      </c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</row>
    <row r="33" spans="1:49" x14ac:dyDescent="0.2">
      <c r="A33" s="8">
        <v>11720</v>
      </c>
      <c r="B33" s="8" t="s">
        <v>93</v>
      </c>
      <c r="C33" s="8" t="s">
        <v>23</v>
      </c>
      <c r="D33" s="29" t="s">
        <v>2</v>
      </c>
      <c r="E33" s="19"/>
      <c r="F33" s="1">
        <v>3814.4</v>
      </c>
      <c r="G33" s="1">
        <v>3486</v>
      </c>
      <c r="H33" s="1">
        <v>328.4</v>
      </c>
      <c r="I33" s="226"/>
      <c r="J33" s="1">
        <v>1536.38</v>
      </c>
      <c r="K33" s="1">
        <f t="shared" si="2"/>
        <v>1536.38</v>
      </c>
      <c r="L33" s="1"/>
      <c r="M33" s="226"/>
      <c r="N33" s="1">
        <v>2246</v>
      </c>
      <c r="O33" s="1">
        <v>2246</v>
      </c>
      <c r="P33" s="1">
        <v>0</v>
      </c>
      <c r="Q33" s="226"/>
      <c r="R33" s="1">
        <v>0</v>
      </c>
      <c r="S33" s="1">
        <v>0</v>
      </c>
      <c r="T33" s="1">
        <v>0</v>
      </c>
      <c r="V33" s="4">
        <f t="shared" si="0"/>
        <v>7596.78</v>
      </c>
      <c r="W33" s="4">
        <f t="shared" si="0"/>
        <v>7268.38</v>
      </c>
      <c r="X33" s="4">
        <f t="shared" si="0"/>
        <v>328.4</v>
      </c>
      <c r="Z33" s="153">
        <f t="shared" si="1"/>
        <v>5350.7800000000007</v>
      </c>
      <c r="AB33" s="1">
        <v>69.8</v>
      </c>
      <c r="AC33" s="1">
        <v>69.8</v>
      </c>
      <c r="AD33" s="1">
        <v>0</v>
      </c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</row>
    <row r="34" spans="1:49" x14ac:dyDescent="0.2">
      <c r="A34" s="8">
        <v>11730</v>
      </c>
      <c r="B34" s="8" t="s">
        <v>94</v>
      </c>
      <c r="C34" s="8" t="s">
        <v>19</v>
      </c>
      <c r="D34" s="29" t="s">
        <v>3</v>
      </c>
      <c r="E34" s="19"/>
      <c r="F34" s="1">
        <v>5285</v>
      </c>
      <c r="G34" s="1">
        <v>5073.6000000000004</v>
      </c>
      <c r="H34" s="1">
        <v>211.4</v>
      </c>
      <c r="I34" s="226"/>
      <c r="J34" s="1">
        <v>1817.63</v>
      </c>
      <c r="K34" s="1">
        <f t="shared" si="2"/>
        <v>1817.63</v>
      </c>
      <c r="L34" s="1"/>
      <c r="M34" s="226"/>
      <c r="N34" s="1">
        <v>876</v>
      </c>
      <c r="O34" s="1">
        <v>876</v>
      </c>
      <c r="P34" s="1">
        <v>0</v>
      </c>
      <c r="Q34" s="226"/>
      <c r="R34" s="1">
        <v>0</v>
      </c>
      <c r="S34" s="1">
        <v>0</v>
      </c>
      <c r="T34" s="1">
        <v>0</v>
      </c>
      <c r="V34" s="4">
        <f t="shared" si="0"/>
        <v>7978.63</v>
      </c>
      <c r="W34" s="4">
        <f t="shared" si="0"/>
        <v>7767.2300000000005</v>
      </c>
      <c r="X34" s="4">
        <f t="shared" si="0"/>
        <v>211.4</v>
      </c>
      <c r="Z34" s="153">
        <f t="shared" si="1"/>
        <v>7102.63</v>
      </c>
      <c r="AB34" s="1">
        <v>0</v>
      </c>
      <c r="AC34" s="1">
        <v>0</v>
      </c>
      <c r="AD34" s="1">
        <v>0</v>
      </c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</row>
    <row r="35" spans="1:49" x14ac:dyDescent="0.2">
      <c r="A35" s="8">
        <v>11750</v>
      </c>
      <c r="B35" s="8" t="s">
        <v>95</v>
      </c>
      <c r="C35" s="8" t="s">
        <v>38</v>
      </c>
      <c r="D35" s="29" t="s">
        <v>1</v>
      </c>
      <c r="E35" s="19">
        <v>1</v>
      </c>
      <c r="F35" s="1">
        <v>0</v>
      </c>
      <c r="G35" s="1">
        <v>0</v>
      </c>
      <c r="H35" s="1">
        <v>0</v>
      </c>
      <c r="I35" s="226"/>
      <c r="J35" s="1">
        <v>37.57</v>
      </c>
      <c r="K35" s="1">
        <f t="shared" si="2"/>
        <v>37.57</v>
      </c>
      <c r="L35" s="1"/>
      <c r="M35" s="226"/>
      <c r="N35" s="1">
        <v>0</v>
      </c>
      <c r="O35" s="1">
        <v>0</v>
      </c>
      <c r="P35" s="1">
        <v>0</v>
      </c>
      <c r="Q35" s="226"/>
      <c r="R35" s="1">
        <v>0</v>
      </c>
      <c r="S35" s="1">
        <v>0</v>
      </c>
      <c r="T35" s="1">
        <v>0</v>
      </c>
      <c r="V35" s="4">
        <f t="shared" si="0"/>
        <v>37.57</v>
      </c>
      <c r="W35" s="4">
        <f t="shared" si="0"/>
        <v>37.57</v>
      </c>
      <c r="X35" s="4">
        <f t="shared" si="0"/>
        <v>0</v>
      </c>
      <c r="Z35" s="153">
        <f t="shared" si="1"/>
        <v>37.57</v>
      </c>
      <c r="AB35" s="1">
        <v>0</v>
      </c>
      <c r="AC35" s="1">
        <v>0</v>
      </c>
      <c r="AD35" s="1">
        <v>0</v>
      </c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</row>
    <row r="36" spans="1:49" x14ac:dyDescent="0.2">
      <c r="A36" s="8">
        <v>11800</v>
      </c>
      <c r="B36" s="8" t="s">
        <v>42</v>
      </c>
      <c r="C36" s="8" t="s">
        <v>39</v>
      </c>
      <c r="D36" s="29" t="s">
        <v>3</v>
      </c>
      <c r="E36" s="19"/>
      <c r="F36" s="1">
        <v>6288.5</v>
      </c>
      <c r="G36" s="1">
        <v>5820.74</v>
      </c>
      <c r="H36" s="1">
        <v>467.76</v>
      </c>
      <c r="I36" s="226"/>
      <c r="J36" s="1">
        <v>2234.0300000000002</v>
      </c>
      <c r="K36" s="1">
        <f t="shared" si="2"/>
        <v>2234.0300000000002</v>
      </c>
      <c r="L36" s="1"/>
      <c r="M36" s="226"/>
      <c r="N36" s="1">
        <v>2265.4300000000003</v>
      </c>
      <c r="O36" s="1">
        <v>2265.4300000000003</v>
      </c>
      <c r="P36" s="1">
        <v>0</v>
      </c>
      <c r="Q36" s="226"/>
      <c r="R36" s="1">
        <v>67.56</v>
      </c>
      <c r="S36" s="1">
        <v>67.56</v>
      </c>
      <c r="T36" s="1">
        <v>0</v>
      </c>
      <c r="V36" s="4">
        <f t="shared" si="0"/>
        <v>10855.52</v>
      </c>
      <c r="W36" s="4">
        <f t="shared" si="0"/>
        <v>10387.76</v>
      </c>
      <c r="X36" s="4">
        <f t="shared" si="0"/>
        <v>467.76</v>
      </c>
      <c r="Z36" s="153">
        <f t="shared" si="1"/>
        <v>8522.5300000000007</v>
      </c>
      <c r="AB36" s="1">
        <v>0</v>
      </c>
      <c r="AC36" s="1">
        <v>0</v>
      </c>
      <c r="AD36" s="1">
        <v>0</v>
      </c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</row>
    <row r="37" spans="1:49" x14ac:dyDescent="0.2">
      <c r="A37" s="8">
        <v>12000</v>
      </c>
      <c r="B37" s="8" t="s">
        <v>96</v>
      </c>
      <c r="C37" s="8" t="s">
        <v>21</v>
      </c>
      <c r="D37" s="29" t="s">
        <v>1</v>
      </c>
      <c r="E37" s="19"/>
      <c r="F37" s="1">
        <v>416</v>
      </c>
      <c r="G37" s="1">
        <v>416</v>
      </c>
      <c r="H37" s="1">
        <v>0</v>
      </c>
      <c r="I37" s="226"/>
      <c r="J37" s="1">
        <v>23.64</v>
      </c>
      <c r="K37" s="1">
        <f t="shared" si="2"/>
        <v>23.64</v>
      </c>
      <c r="L37" s="1"/>
      <c r="M37" s="226"/>
      <c r="N37" s="1">
        <v>943</v>
      </c>
      <c r="O37" s="1">
        <v>943</v>
      </c>
      <c r="P37" s="1">
        <v>0</v>
      </c>
      <c r="Q37" s="226"/>
      <c r="R37" s="1">
        <v>62</v>
      </c>
      <c r="S37" s="1">
        <v>62</v>
      </c>
      <c r="T37" s="1">
        <v>0</v>
      </c>
      <c r="V37" s="4">
        <f t="shared" si="0"/>
        <v>1444.64</v>
      </c>
      <c r="W37" s="4">
        <f t="shared" si="0"/>
        <v>1444.64</v>
      </c>
      <c r="X37" s="4">
        <f t="shared" si="0"/>
        <v>0</v>
      </c>
      <c r="Z37" s="153">
        <f t="shared" si="1"/>
        <v>439.64</v>
      </c>
      <c r="AB37" s="1">
        <v>0</v>
      </c>
      <c r="AC37" s="1">
        <v>0</v>
      </c>
      <c r="AD37" s="1">
        <v>0</v>
      </c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</row>
    <row r="38" spans="1:49" x14ac:dyDescent="0.2">
      <c r="A38" s="8">
        <v>12150</v>
      </c>
      <c r="B38" s="8" t="s">
        <v>97</v>
      </c>
      <c r="C38" s="8" t="s">
        <v>38</v>
      </c>
      <c r="D38" s="29" t="s">
        <v>1</v>
      </c>
      <c r="E38" s="19">
        <v>1</v>
      </c>
      <c r="F38" s="1">
        <v>0</v>
      </c>
      <c r="G38" s="1">
        <v>0</v>
      </c>
      <c r="H38" s="1">
        <v>0</v>
      </c>
      <c r="I38" s="226"/>
      <c r="J38" s="1">
        <v>62.53</v>
      </c>
      <c r="K38" s="1">
        <f t="shared" si="2"/>
        <v>62.53</v>
      </c>
      <c r="L38" s="1"/>
      <c r="M38" s="226"/>
      <c r="N38" s="1">
        <v>0</v>
      </c>
      <c r="O38" s="1">
        <v>0</v>
      </c>
      <c r="P38" s="1">
        <v>0</v>
      </c>
      <c r="Q38" s="226"/>
      <c r="R38" s="1">
        <v>0</v>
      </c>
      <c r="S38" s="1">
        <v>0</v>
      </c>
      <c r="T38" s="1">
        <v>0</v>
      </c>
      <c r="V38" s="4">
        <f t="shared" si="0"/>
        <v>62.53</v>
      </c>
      <c r="W38" s="4">
        <f t="shared" si="0"/>
        <v>62.53</v>
      </c>
      <c r="X38" s="4">
        <f t="shared" si="0"/>
        <v>0</v>
      </c>
      <c r="Z38" s="153">
        <f t="shared" si="1"/>
        <v>62.53</v>
      </c>
      <c r="AB38" s="1">
        <v>50</v>
      </c>
      <c r="AC38" s="1">
        <v>0</v>
      </c>
      <c r="AD38" s="1">
        <v>50</v>
      </c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</row>
    <row r="39" spans="1:49" x14ac:dyDescent="0.2">
      <c r="A39" s="8">
        <v>12160</v>
      </c>
      <c r="B39" s="8" t="s">
        <v>98</v>
      </c>
      <c r="C39" s="8" t="s">
        <v>21</v>
      </c>
      <c r="D39" s="29" t="s">
        <v>1</v>
      </c>
      <c r="E39" s="19"/>
      <c r="F39" s="1">
        <v>607.32000000000005</v>
      </c>
      <c r="G39" s="1">
        <v>490.32000000000005</v>
      </c>
      <c r="H39" s="1">
        <v>117</v>
      </c>
      <c r="I39" s="226"/>
      <c r="J39" s="625">
        <v>227.03</v>
      </c>
      <c r="K39" s="1">
        <f t="shared" si="2"/>
        <v>227.03</v>
      </c>
      <c r="L39" s="1"/>
      <c r="M39" s="226"/>
      <c r="N39" s="1">
        <v>241.66000000000003</v>
      </c>
      <c r="O39" s="1">
        <v>241.66000000000003</v>
      </c>
      <c r="P39" s="1">
        <v>0</v>
      </c>
      <c r="Q39" s="226"/>
      <c r="R39" s="1">
        <v>0</v>
      </c>
      <c r="S39" s="1">
        <v>0</v>
      </c>
      <c r="T39" s="1">
        <v>0</v>
      </c>
      <c r="V39" s="4">
        <f t="shared" si="0"/>
        <v>1076.01</v>
      </c>
      <c r="W39" s="4">
        <f t="shared" si="0"/>
        <v>959.01</v>
      </c>
      <c r="X39" s="4">
        <f t="shared" si="0"/>
        <v>117</v>
      </c>
      <c r="Z39" s="153">
        <f t="shared" si="1"/>
        <v>834.35</v>
      </c>
      <c r="AB39" s="1">
        <v>0</v>
      </c>
      <c r="AC39" s="1">
        <v>0</v>
      </c>
      <c r="AD39" s="1">
        <v>0</v>
      </c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</row>
    <row r="40" spans="1:49" x14ac:dyDescent="0.2">
      <c r="A40" s="8">
        <v>12350</v>
      </c>
      <c r="B40" s="8" t="s">
        <v>99</v>
      </c>
      <c r="C40" s="8" t="s">
        <v>38</v>
      </c>
      <c r="D40" s="29" t="s">
        <v>1</v>
      </c>
      <c r="E40" s="19"/>
      <c r="F40" s="1">
        <v>832.54</v>
      </c>
      <c r="G40" s="1">
        <v>396.33</v>
      </c>
      <c r="H40" s="1">
        <v>436.21</v>
      </c>
      <c r="I40" s="226"/>
      <c r="J40" s="1">
        <v>332.29</v>
      </c>
      <c r="K40" s="1">
        <f t="shared" si="2"/>
        <v>332.29</v>
      </c>
      <c r="L40" s="1"/>
      <c r="M40" s="226"/>
      <c r="N40" s="1">
        <v>601.82000000000005</v>
      </c>
      <c r="O40" s="1">
        <v>601.82000000000005</v>
      </c>
      <c r="P40" s="1">
        <v>0</v>
      </c>
      <c r="Q40" s="226"/>
      <c r="R40" s="1">
        <v>0</v>
      </c>
      <c r="S40" s="1">
        <v>0</v>
      </c>
      <c r="T40" s="1">
        <v>0</v>
      </c>
      <c r="V40" s="4">
        <f t="shared" si="0"/>
        <v>1766.65</v>
      </c>
      <c r="W40" s="4">
        <f t="shared" si="0"/>
        <v>1330.44</v>
      </c>
      <c r="X40" s="4">
        <f t="shared" si="0"/>
        <v>436.21</v>
      </c>
      <c r="Z40" s="153">
        <f t="shared" si="1"/>
        <v>1164.83</v>
      </c>
      <c r="AB40" s="1">
        <v>0</v>
      </c>
      <c r="AC40" s="1">
        <v>0</v>
      </c>
      <c r="AD40" s="1">
        <v>0</v>
      </c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</row>
    <row r="41" spans="1:49" x14ac:dyDescent="0.2">
      <c r="A41" s="8">
        <v>12380</v>
      </c>
      <c r="B41" s="8" t="s">
        <v>47</v>
      </c>
      <c r="C41" s="8" t="s">
        <v>18</v>
      </c>
      <c r="D41" s="29" t="s">
        <v>2</v>
      </c>
      <c r="E41" s="19"/>
      <c r="F41" s="1">
        <v>9564</v>
      </c>
      <c r="G41" s="1">
        <v>8542</v>
      </c>
      <c r="H41" s="1">
        <v>1022</v>
      </c>
      <c r="I41" s="226"/>
      <c r="J41" s="1">
        <v>2291.92</v>
      </c>
      <c r="K41" s="1">
        <f t="shared" si="2"/>
        <v>2291.92</v>
      </c>
      <c r="L41" s="1"/>
      <c r="M41" s="226"/>
      <c r="N41" s="1">
        <v>255.51999999999998</v>
      </c>
      <c r="O41" s="1">
        <v>255.51999999999998</v>
      </c>
      <c r="P41" s="1">
        <v>0</v>
      </c>
      <c r="Q41" s="226"/>
      <c r="R41" s="1">
        <v>0</v>
      </c>
      <c r="S41" s="1">
        <v>0</v>
      </c>
      <c r="T41" s="1">
        <v>0</v>
      </c>
      <c r="V41" s="4">
        <f t="shared" si="0"/>
        <v>12111.44</v>
      </c>
      <c r="W41" s="4">
        <f t="shared" si="0"/>
        <v>11089.44</v>
      </c>
      <c r="X41" s="4">
        <f t="shared" si="0"/>
        <v>1022</v>
      </c>
      <c r="Z41" s="153">
        <f t="shared" si="1"/>
        <v>11855.92</v>
      </c>
      <c r="AB41" s="1">
        <v>0</v>
      </c>
      <c r="AC41" s="1">
        <v>0</v>
      </c>
      <c r="AD41" s="1">
        <v>0</v>
      </c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</row>
    <row r="42" spans="1:49" x14ac:dyDescent="0.2">
      <c r="A42" s="8">
        <v>12390</v>
      </c>
      <c r="B42" s="8" t="s">
        <v>100</v>
      </c>
      <c r="C42" s="8" t="s">
        <v>38</v>
      </c>
      <c r="D42" s="29" t="s">
        <v>1</v>
      </c>
      <c r="E42" s="19"/>
      <c r="F42" s="1">
        <v>2816.63</v>
      </c>
      <c r="G42" s="1">
        <v>2422.31</v>
      </c>
      <c r="H42" s="1">
        <v>394.32</v>
      </c>
      <c r="I42" s="226"/>
      <c r="J42" s="1">
        <v>1782.23</v>
      </c>
      <c r="K42" s="1">
        <f t="shared" si="2"/>
        <v>1782.23</v>
      </c>
      <c r="L42" s="1"/>
      <c r="M42" s="226"/>
      <c r="N42" s="1">
        <v>0</v>
      </c>
      <c r="O42" s="1">
        <v>0</v>
      </c>
      <c r="P42" s="1">
        <v>0</v>
      </c>
      <c r="Q42" s="226"/>
      <c r="R42" s="1">
        <v>144.41999999999999</v>
      </c>
      <c r="S42" s="1">
        <v>144.41999999999999</v>
      </c>
      <c r="T42" s="1">
        <v>0</v>
      </c>
      <c r="V42" s="4">
        <f t="shared" si="0"/>
        <v>4743.2800000000007</v>
      </c>
      <c r="W42" s="4">
        <f t="shared" si="0"/>
        <v>4348.96</v>
      </c>
      <c r="X42" s="4">
        <f t="shared" si="0"/>
        <v>394.32</v>
      </c>
      <c r="Z42" s="153">
        <f t="shared" si="1"/>
        <v>4598.8600000000006</v>
      </c>
      <c r="AB42" s="1">
        <v>34</v>
      </c>
      <c r="AC42" s="1">
        <v>34</v>
      </c>
      <c r="AD42" s="1">
        <v>0</v>
      </c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</row>
    <row r="43" spans="1:49" x14ac:dyDescent="0.2">
      <c r="A43" s="8">
        <v>12700</v>
      </c>
      <c r="B43" s="8" t="s">
        <v>101</v>
      </c>
      <c r="C43" s="8" t="s">
        <v>23</v>
      </c>
      <c r="D43" s="29" t="s">
        <v>3</v>
      </c>
      <c r="E43" s="19"/>
      <c r="F43" s="1">
        <v>656</v>
      </c>
      <c r="G43" s="1">
        <v>656</v>
      </c>
      <c r="H43" s="1">
        <v>0</v>
      </c>
      <c r="I43" s="226"/>
      <c r="J43" s="1">
        <v>127.53</v>
      </c>
      <c r="K43" s="1">
        <f t="shared" si="2"/>
        <v>127.53</v>
      </c>
      <c r="L43" s="1"/>
      <c r="M43" s="226"/>
      <c r="N43" s="1">
        <v>682.19999999999993</v>
      </c>
      <c r="O43" s="1">
        <v>682.19999999999993</v>
      </c>
      <c r="P43" s="1">
        <v>0</v>
      </c>
      <c r="Q43" s="226"/>
      <c r="R43" s="1">
        <v>0</v>
      </c>
      <c r="S43" s="1">
        <v>0</v>
      </c>
      <c r="T43" s="1">
        <v>0</v>
      </c>
      <c r="V43" s="4">
        <f t="shared" si="0"/>
        <v>1465.7299999999998</v>
      </c>
      <c r="W43" s="4">
        <f t="shared" si="0"/>
        <v>1465.7299999999998</v>
      </c>
      <c r="X43" s="4">
        <f t="shared" si="0"/>
        <v>0</v>
      </c>
      <c r="Z43" s="153">
        <f t="shared" si="1"/>
        <v>783.53</v>
      </c>
      <c r="AB43" s="1">
        <v>0</v>
      </c>
      <c r="AC43" s="1">
        <v>0</v>
      </c>
      <c r="AD43" s="1">
        <v>0</v>
      </c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</row>
    <row r="44" spans="1:49" x14ac:dyDescent="0.2">
      <c r="A44" s="8">
        <v>12730</v>
      </c>
      <c r="B44" s="8" t="s">
        <v>102</v>
      </c>
      <c r="C44" s="8" t="s">
        <v>66</v>
      </c>
      <c r="D44" s="29" t="s">
        <v>1</v>
      </c>
      <c r="E44" s="19">
        <v>1</v>
      </c>
      <c r="F44" s="1">
        <v>0</v>
      </c>
      <c r="G44" s="1">
        <v>0</v>
      </c>
      <c r="H44" s="1">
        <v>0</v>
      </c>
      <c r="I44" s="226"/>
      <c r="J44" s="1">
        <v>364.94</v>
      </c>
      <c r="K44" s="1">
        <f t="shared" si="2"/>
        <v>364.94</v>
      </c>
      <c r="L44" s="1"/>
      <c r="M44" s="226"/>
      <c r="N44" s="1">
        <v>779.27</v>
      </c>
      <c r="O44" s="1">
        <v>765.13</v>
      </c>
      <c r="P44" s="1">
        <v>14.14</v>
      </c>
      <c r="Q44" s="226"/>
      <c r="R44" s="1">
        <v>0</v>
      </c>
      <c r="S44" s="1">
        <v>0</v>
      </c>
      <c r="T44" s="1">
        <v>0</v>
      </c>
      <c r="V44" s="4">
        <f t="shared" si="0"/>
        <v>1144.21</v>
      </c>
      <c r="W44" s="4">
        <f t="shared" si="0"/>
        <v>1130.07</v>
      </c>
      <c r="X44" s="4">
        <f t="shared" si="0"/>
        <v>14.14</v>
      </c>
      <c r="Z44" s="153">
        <f t="shared" si="1"/>
        <v>364.94</v>
      </c>
      <c r="AB44" s="1">
        <v>0</v>
      </c>
      <c r="AC44" s="1">
        <v>0</v>
      </c>
      <c r="AD44" s="1">
        <v>0</v>
      </c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</row>
    <row r="45" spans="1:49" x14ac:dyDescent="0.2">
      <c r="A45" s="8">
        <v>12750</v>
      </c>
      <c r="B45" s="8" t="s">
        <v>103</v>
      </c>
      <c r="C45" s="8" t="s">
        <v>67</v>
      </c>
      <c r="D45" s="29" t="s">
        <v>1</v>
      </c>
      <c r="E45" s="19"/>
      <c r="F45" s="1">
        <v>4705.0200000000004</v>
      </c>
      <c r="G45" s="1">
        <v>4140.42</v>
      </c>
      <c r="H45" s="1">
        <v>564.6</v>
      </c>
      <c r="I45" s="226"/>
      <c r="J45" s="1">
        <v>1124.19</v>
      </c>
      <c r="K45" s="1">
        <f t="shared" si="2"/>
        <v>1124.19</v>
      </c>
      <c r="L45" s="1"/>
      <c r="M45" s="226"/>
      <c r="N45" s="1">
        <v>2519.6999999999994</v>
      </c>
      <c r="O45" s="1">
        <v>2519.6999999999994</v>
      </c>
      <c r="P45" s="1">
        <v>0</v>
      </c>
      <c r="Q45" s="226"/>
      <c r="R45" s="1">
        <v>387.94</v>
      </c>
      <c r="S45" s="1">
        <v>387.94</v>
      </c>
      <c r="T45" s="1">
        <v>0</v>
      </c>
      <c r="V45" s="4">
        <f t="shared" si="0"/>
        <v>8736.8499999999985</v>
      </c>
      <c r="W45" s="4">
        <f t="shared" si="0"/>
        <v>8172.2499999999982</v>
      </c>
      <c r="X45" s="4">
        <f t="shared" si="0"/>
        <v>564.6</v>
      </c>
      <c r="Z45" s="153">
        <f t="shared" si="1"/>
        <v>5829.2100000000009</v>
      </c>
      <c r="AB45" s="1">
        <v>2.48</v>
      </c>
      <c r="AC45" s="1">
        <v>2.48</v>
      </c>
      <c r="AD45" s="1">
        <v>0</v>
      </c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</row>
    <row r="46" spans="1:49" x14ac:dyDescent="0.2">
      <c r="A46" s="8">
        <v>12850</v>
      </c>
      <c r="B46" s="8" t="s">
        <v>104</v>
      </c>
      <c r="C46" s="8" t="s">
        <v>18</v>
      </c>
      <c r="D46" s="29" t="s">
        <v>2</v>
      </c>
      <c r="E46" s="19"/>
      <c r="F46" s="1">
        <v>9807.6200000000008</v>
      </c>
      <c r="G46" s="1">
        <v>9807.6200000000008</v>
      </c>
      <c r="H46" s="1">
        <v>0</v>
      </c>
      <c r="I46" s="226"/>
      <c r="J46" s="1">
        <v>3281.78</v>
      </c>
      <c r="K46" s="1">
        <f t="shared" si="2"/>
        <v>3281.78</v>
      </c>
      <c r="L46" s="1"/>
      <c r="M46" s="226"/>
      <c r="N46" s="1">
        <v>78.05</v>
      </c>
      <c r="O46" s="1">
        <v>78.05</v>
      </c>
      <c r="P46" s="1">
        <v>0</v>
      </c>
      <c r="Q46" s="226"/>
      <c r="R46" s="1">
        <v>0</v>
      </c>
      <c r="S46" s="1">
        <v>0</v>
      </c>
      <c r="T46" s="1">
        <v>0</v>
      </c>
      <c r="V46" s="4">
        <f t="shared" si="0"/>
        <v>13167.45</v>
      </c>
      <c r="W46" s="4">
        <f t="shared" si="0"/>
        <v>13167.45</v>
      </c>
      <c r="X46" s="4">
        <f t="shared" si="0"/>
        <v>0</v>
      </c>
      <c r="Z46" s="153">
        <f t="shared" si="1"/>
        <v>13089.400000000001</v>
      </c>
      <c r="AB46" s="1">
        <v>0</v>
      </c>
      <c r="AC46" s="1">
        <v>0</v>
      </c>
      <c r="AD46" s="1">
        <v>0</v>
      </c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</row>
    <row r="47" spans="1:49" x14ac:dyDescent="0.2">
      <c r="A47" s="8">
        <v>12870</v>
      </c>
      <c r="B47" s="8" t="s">
        <v>105</v>
      </c>
      <c r="C47" s="8" t="s">
        <v>66</v>
      </c>
      <c r="D47" s="29" t="s">
        <v>1</v>
      </c>
      <c r="E47" s="19"/>
      <c r="F47" s="1">
        <v>1136</v>
      </c>
      <c r="G47" s="1">
        <v>1136</v>
      </c>
      <c r="H47" s="1">
        <v>0</v>
      </c>
      <c r="I47" s="226"/>
      <c r="J47" s="1">
        <v>1159.1799999999998</v>
      </c>
      <c r="K47" s="1">
        <f t="shared" si="2"/>
        <v>1159.1799999999998</v>
      </c>
      <c r="L47" s="1"/>
      <c r="M47" s="226"/>
      <c r="N47" s="1">
        <v>0</v>
      </c>
      <c r="O47" s="1">
        <v>0</v>
      </c>
      <c r="P47" s="1">
        <v>0</v>
      </c>
      <c r="Q47" s="226"/>
      <c r="R47" s="1">
        <v>0</v>
      </c>
      <c r="S47" s="1">
        <v>0</v>
      </c>
      <c r="T47" s="1">
        <v>0</v>
      </c>
      <c r="V47" s="4">
        <f t="shared" si="0"/>
        <v>2295.1799999999998</v>
      </c>
      <c r="W47" s="4">
        <f t="shared" si="0"/>
        <v>2295.1799999999998</v>
      </c>
      <c r="X47" s="4">
        <f t="shared" si="0"/>
        <v>0</v>
      </c>
      <c r="Z47" s="153">
        <f t="shared" si="1"/>
        <v>2295.1799999999998</v>
      </c>
      <c r="AB47" s="1">
        <v>0</v>
      </c>
      <c r="AC47" s="1">
        <v>0</v>
      </c>
      <c r="AD47" s="1">
        <v>0</v>
      </c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</row>
    <row r="48" spans="1:49" x14ac:dyDescent="0.2">
      <c r="A48" s="8">
        <v>12900</v>
      </c>
      <c r="B48" s="8" t="s">
        <v>106</v>
      </c>
      <c r="C48" s="8" t="s">
        <v>38</v>
      </c>
      <c r="D48" s="29" t="s">
        <v>1</v>
      </c>
      <c r="E48" s="19"/>
      <c r="F48" s="1">
        <v>395</v>
      </c>
      <c r="G48" s="1">
        <v>387.27</v>
      </c>
      <c r="H48" s="1">
        <v>7.73</v>
      </c>
      <c r="I48" s="226"/>
      <c r="J48" s="1">
        <v>242.32</v>
      </c>
      <c r="K48" s="1">
        <f t="shared" si="2"/>
        <v>242.32</v>
      </c>
      <c r="L48" s="1"/>
      <c r="M48" s="226"/>
      <c r="N48" s="1">
        <v>587</v>
      </c>
      <c r="O48" s="1">
        <v>587</v>
      </c>
      <c r="P48" s="1">
        <v>0</v>
      </c>
      <c r="Q48" s="226"/>
      <c r="R48" s="1">
        <v>10</v>
      </c>
      <c r="S48" s="1">
        <v>10</v>
      </c>
      <c r="T48" s="1">
        <v>0</v>
      </c>
      <c r="V48" s="4">
        <f t="shared" si="0"/>
        <v>1234.32</v>
      </c>
      <c r="W48" s="4">
        <f t="shared" si="0"/>
        <v>1226.5899999999999</v>
      </c>
      <c r="X48" s="4">
        <f t="shared" si="0"/>
        <v>7.73</v>
      </c>
      <c r="Z48" s="153">
        <f t="shared" si="1"/>
        <v>637.31999999999994</v>
      </c>
      <c r="AB48" s="1">
        <v>0</v>
      </c>
      <c r="AC48" s="1">
        <v>0</v>
      </c>
      <c r="AD48" s="1">
        <v>0</v>
      </c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</row>
    <row r="49" spans="1:49" x14ac:dyDescent="0.2">
      <c r="A49" s="8">
        <v>12930</v>
      </c>
      <c r="B49" s="8" t="s">
        <v>48</v>
      </c>
      <c r="C49" s="8" t="s">
        <v>17</v>
      </c>
      <c r="D49" s="29" t="s">
        <v>2</v>
      </c>
      <c r="E49" s="19"/>
      <c r="F49" s="1">
        <v>9377</v>
      </c>
      <c r="G49" s="1">
        <v>9377</v>
      </c>
      <c r="H49" s="1">
        <v>0</v>
      </c>
      <c r="I49" s="226"/>
      <c r="J49" s="1">
        <v>1187.3499999999999</v>
      </c>
      <c r="K49" s="1">
        <f t="shared" si="2"/>
        <v>1187.3499999999999</v>
      </c>
      <c r="L49" s="1"/>
      <c r="M49" s="226"/>
      <c r="N49" s="1">
        <v>0</v>
      </c>
      <c r="O49" s="1">
        <v>0</v>
      </c>
      <c r="P49" s="1">
        <v>0</v>
      </c>
      <c r="Q49" s="226"/>
      <c r="R49" s="1">
        <v>261.89999999999998</v>
      </c>
      <c r="S49" s="1">
        <v>196.89999999999998</v>
      </c>
      <c r="T49" s="1">
        <v>65</v>
      </c>
      <c r="V49" s="4">
        <f t="shared" si="0"/>
        <v>10826.25</v>
      </c>
      <c r="W49" s="4">
        <f t="shared" si="0"/>
        <v>10761.25</v>
      </c>
      <c r="X49" s="4">
        <f t="shared" si="0"/>
        <v>65</v>
      </c>
      <c r="Z49" s="153">
        <f t="shared" si="1"/>
        <v>10564.35</v>
      </c>
      <c r="AB49" s="1">
        <v>0</v>
      </c>
      <c r="AC49" s="1">
        <v>0</v>
      </c>
      <c r="AD49" s="1">
        <v>0</v>
      </c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</row>
    <row r="50" spans="1:49" x14ac:dyDescent="0.2">
      <c r="A50" s="8">
        <v>12950</v>
      </c>
      <c r="B50" s="8" t="s">
        <v>107</v>
      </c>
      <c r="C50" s="8" t="s">
        <v>38</v>
      </c>
      <c r="D50" s="29" t="s">
        <v>1</v>
      </c>
      <c r="E50" s="19"/>
      <c r="F50" s="1">
        <v>139</v>
      </c>
      <c r="G50" s="1">
        <v>138.19999999999999</v>
      </c>
      <c r="H50" s="1">
        <v>0.8</v>
      </c>
      <c r="I50" s="226"/>
      <c r="J50" s="1">
        <v>53.75</v>
      </c>
      <c r="K50" s="1">
        <f t="shared" si="2"/>
        <v>53.75</v>
      </c>
      <c r="L50" s="1"/>
      <c r="M50" s="226"/>
      <c r="N50" s="1">
        <v>38</v>
      </c>
      <c r="O50" s="1">
        <v>38</v>
      </c>
      <c r="P50" s="1">
        <v>0</v>
      </c>
      <c r="Q50" s="226"/>
      <c r="R50" s="1">
        <v>0</v>
      </c>
      <c r="S50" s="1">
        <v>0</v>
      </c>
      <c r="T50" s="1">
        <v>0</v>
      </c>
      <c r="V50" s="4">
        <f t="shared" si="0"/>
        <v>230.75</v>
      </c>
      <c r="W50" s="4">
        <f t="shared" si="0"/>
        <v>229.95</v>
      </c>
      <c r="X50" s="4">
        <f t="shared" si="0"/>
        <v>0.8</v>
      </c>
      <c r="Z50" s="153">
        <f t="shared" si="1"/>
        <v>192.75</v>
      </c>
      <c r="AB50" s="1">
        <v>0</v>
      </c>
      <c r="AC50" s="1">
        <v>0</v>
      </c>
      <c r="AD50" s="1">
        <v>0</v>
      </c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</row>
    <row r="51" spans="1:49" x14ac:dyDescent="0.2">
      <c r="A51" s="8">
        <v>13010</v>
      </c>
      <c r="B51" s="8" t="s">
        <v>108</v>
      </c>
      <c r="C51" s="8" t="s">
        <v>16</v>
      </c>
      <c r="D51" s="29" t="s">
        <v>1</v>
      </c>
      <c r="E51" s="19"/>
      <c r="F51" s="1">
        <v>441.33</v>
      </c>
      <c r="G51" s="1">
        <v>441.33</v>
      </c>
      <c r="H51" s="1">
        <v>0</v>
      </c>
      <c r="I51" s="226"/>
      <c r="J51" s="1">
        <v>213.94</v>
      </c>
      <c r="K51" s="1">
        <f t="shared" si="2"/>
        <v>213.94</v>
      </c>
      <c r="L51" s="1"/>
      <c r="M51" s="226"/>
      <c r="N51" s="1">
        <v>1670.41</v>
      </c>
      <c r="O51" s="1">
        <v>1661.1100000000001</v>
      </c>
      <c r="P51" s="1">
        <v>9.3000000000000007</v>
      </c>
      <c r="Q51" s="226"/>
      <c r="R51" s="1">
        <v>0</v>
      </c>
      <c r="S51" s="1">
        <v>0</v>
      </c>
      <c r="T51" s="1">
        <v>0</v>
      </c>
      <c r="V51" s="4">
        <f t="shared" si="0"/>
        <v>2325.6800000000003</v>
      </c>
      <c r="W51" s="4">
        <f t="shared" si="0"/>
        <v>2316.38</v>
      </c>
      <c r="X51" s="4">
        <f t="shared" si="0"/>
        <v>9.3000000000000007</v>
      </c>
      <c r="Z51" s="153">
        <f t="shared" si="1"/>
        <v>655.27</v>
      </c>
      <c r="AB51" s="1">
        <v>0</v>
      </c>
      <c r="AC51" s="1">
        <v>0</v>
      </c>
      <c r="AD51" s="1">
        <v>0</v>
      </c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</row>
    <row r="52" spans="1:49" x14ac:dyDescent="0.2">
      <c r="A52" s="8">
        <v>13310</v>
      </c>
      <c r="B52" s="8" t="s">
        <v>109</v>
      </c>
      <c r="C52" s="8" t="s">
        <v>67</v>
      </c>
      <c r="D52" s="29" t="s">
        <v>1</v>
      </c>
      <c r="E52" s="19"/>
      <c r="F52" s="1">
        <v>1544.64</v>
      </c>
      <c r="G52" s="1">
        <v>1544.64</v>
      </c>
      <c r="H52" s="1">
        <v>0</v>
      </c>
      <c r="I52" s="226"/>
      <c r="J52" s="1">
        <v>637.87</v>
      </c>
      <c r="K52" s="1">
        <f t="shared" si="2"/>
        <v>637.87</v>
      </c>
      <c r="L52" s="1"/>
      <c r="M52" s="226"/>
      <c r="N52" s="1">
        <v>1005</v>
      </c>
      <c r="O52" s="1">
        <v>926</v>
      </c>
      <c r="P52" s="1">
        <v>79</v>
      </c>
      <c r="Q52" s="226"/>
      <c r="R52" s="1">
        <v>122.4</v>
      </c>
      <c r="S52" s="1">
        <v>122.4</v>
      </c>
      <c r="T52" s="1">
        <v>0</v>
      </c>
      <c r="V52" s="4">
        <f t="shared" si="0"/>
        <v>3309.9100000000003</v>
      </c>
      <c r="W52" s="4">
        <f t="shared" si="0"/>
        <v>3230.9100000000003</v>
      </c>
      <c r="X52" s="4">
        <f t="shared" si="0"/>
        <v>79</v>
      </c>
      <c r="Z52" s="153">
        <f t="shared" si="1"/>
        <v>2182.5100000000002</v>
      </c>
      <c r="AB52" s="1">
        <v>0</v>
      </c>
      <c r="AC52" s="1">
        <v>0</v>
      </c>
      <c r="AD52" s="1">
        <v>0</v>
      </c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</row>
    <row r="53" spans="1:49" x14ac:dyDescent="0.2">
      <c r="A53" s="8">
        <v>13340</v>
      </c>
      <c r="B53" s="8" t="s">
        <v>110</v>
      </c>
      <c r="C53" s="8" t="s">
        <v>21</v>
      </c>
      <c r="D53" s="29" t="s">
        <v>1</v>
      </c>
      <c r="E53" s="19"/>
      <c r="F53" s="1">
        <v>531</v>
      </c>
      <c r="G53" s="1">
        <v>492.17</v>
      </c>
      <c r="H53" s="1">
        <v>38.83</v>
      </c>
      <c r="I53" s="226"/>
      <c r="J53" s="1">
        <v>45.74</v>
      </c>
      <c r="K53" s="1">
        <f t="shared" si="2"/>
        <v>45.74</v>
      </c>
      <c r="L53" s="1"/>
      <c r="M53" s="226"/>
      <c r="N53" s="1">
        <v>201.2</v>
      </c>
      <c r="O53" s="1">
        <v>201.2</v>
      </c>
      <c r="P53" s="1">
        <v>0</v>
      </c>
      <c r="Q53" s="226"/>
      <c r="R53" s="1">
        <v>0</v>
      </c>
      <c r="S53" s="1">
        <v>0</v>
      </c>
      <c r="T53" s="1">
        <v>0</v>
      </c>
      <c r="V53" s="4">
        <f t="shared" si="0"/>
        <v>777.94</v>
      </c>
      <c r="W53" s="4">
        <f t="shared" si="0"/>
        <v>739.11</v>
      </c>
      <c r="X53" s="4">
        <f t="shared" si="0"/>
        <v>38.83</v>
      </c>
      <c r="Z53" s="153">
        <f t="shared" si="1"/>
        <v>576.74</v>
      </c>
      <c r="AB53" s="1">
        <v>0</v>
      </c>
      <c r="AC53" s="1">
        <v>0</v>
      </c>
      <c r="AD53" s="1">
        <v>0</v>
      </c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</row>
    <row r="54" spans="1:49" x14ac:dyDescent="0.2">
      <c r="A54" s="8">
        <v>13450</v>
      </c>
      <c r="B54" s="8" t="s">
        <v>111</v>
      </c>
      <c r="C54" s="8" t="s">
        <v>68</v>
      </c>
      <c r="D54" s="29" t="s">
        <v>1</v>
      </c>
      <c r="E54" s="19"/>
      <c r="F54" s="1">
        <v>1113</v>
      </c>
      <c r="G54" s="1">
        <v>1113</v>
      </c>
      <c r="H54" s="1">
        <v>0</v>
      </c>
      <c r="I54" s="226"/>
      <c r="J54" s="1">
        <v>680.37</v>
      </c>
      <c r="K54" s="1">
        <f t="shared" si="2"/>
        <v>680.37</v>
      </c>
      <c r="L54" s="1"/>
      <c r="M54" s="226"/>
      <c r="N54" s="1">
        <v>0</v>
      </c>
      <c r="O54" s="1">
        <v>0</v>
      </c>
      <c r="P54" s="1">
        <v>0</v>
      </c>
      <c r="Q54" s="226"/>
      <c r="R54" s="1">
        <v>0</v>
      </c>
      <c r="S54" s="1">
        <v>0</v>
      </c>
      <c r="T54" s="1">
        <v>0</v>
      </c>
      <c r="V54" s="4">
        <f t="shared" si="0"/>
        <v>1793.37</v>
      </c>
      <c r="W54" s="4">
        <f t="shared" si="0"/>
        <v>1793.37</v>
      </c>
      <c r="X54" s="4">
        <f t="shared" si="0"/>
        <v>0</v>
      </c>
      <c r="Z54" s="153">
        <f t="shared" si="1"/>
        <v>1793.37</v>
      </c>
      <c r="AB54" s="1">
        <v>0</v>
      </c>
      <c r="AC54" s="1">
        <v>0</v>
      </c>
      <c r="AD54" s="1">
        <v>0</v>
      </c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</row>
    <row r="55" spans="1:49" x14ac:dyDescent="0.2">
      <c r="A55" s="8">
        <v>13550</v>
      </c>
      <c r="B55" s="8" t="s">
        <v>70</v>
      </c>
      <c r="C55" s="8" t="s">
        <v>16</v>
      </c>
      <c r="D55" s="29" t="s">
        <v>1</v>
      </c>
      <c r="E55" s="19"/>
      <c r="F55" s="1">
        <v>857.62</v>
      </c>
      <c r="G55" s="1">
        <v>570.92000000000007</v>
      </c>
      <c r="H55" s="1">
        <v>286.7</v>
      </c>
      <c r="I55" s="226"/>
      <c r="J55" s="1">
        <v>370.65</v>
      </c>
      <c r="K55" s="1">
        <f t="shared" si="2"/>
        <v>370.65</v>
      </c>
      <c r="L55" s="1"/>
      <c r="M55" s="226"/>
      <c r="N55" s="1">
        <v>1451.97</v>
      </c>
      <c r="O55" s="1">
        <v>1432.88</v>
      </c>
      <c r="P55" s="1">
        <v>19.09</v>
      </c>
      <c r="Q55" s="226"/>
      <c r="R55" s="1">
        <v>0</v>
      </c>
      <c r="S55" s="1">
        <v>0</v>
      </c>
      <c r="T55" s="1">
        <v>0</v>
      </c>
      <c r="V55" s="4">
        <f t="shared" si="0"/>
        <v>2680.2400000000002</v>
      </c>
      <c r="W55" s="4">
        <f t="shared" si="0"/>
        <v>2374.4500000000003</v>
      </c>
      <c r="X55" s="4">
        <f t="shared" si="0"/>
        <v>305.78999999999996</v>
      </c>
      <c r="Z55" s="153">
        <f t="shared" si="1"/>
        <v>1228.27</v>
      </c>
      <c r="AB55" s="1">
        <v>8.18</v>
      </c>
      <c r="AC55" s="1">
        <v>8.18</v>
      </c>
      <c r="AD55" s="1">
        <v>0</v>
      </c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</row>
    <row r="56" spans="1:49" x14ac:dyDescent="0.2">
      <c r="A56" s="8">
        <v>13660</v>
      </c>
      <c r="B56" s="8" t="s">
        <v>112</v>
      </c>
      <c r="C56" s="8" t="s">
        <v>16</v>
      </c>
      <c r="D56" s="29" t="s">
        <v>1</v>
      </c>
      <c r="E56" s="19"/>
      <c r="F56" s="1">
        <v>149</v>
      </c>
      <c r="G56" s="1">
        <v>124</v>
      </c>
      <c r="H56" s="1">
        <v>25</v>
      </c>
      <c r="I56" s="226"/>
      <c r="J56" s="1">
        <v>177.4</v>
      </c>
      <c r="K56" s="1">
        <f t="shared" si="2"/>
        <v>177.4</v>
      </c>
      <c r="L56" s="1"/>
      <c r="M56" s="226"/>
      <c r="N56" s="1">
        <v>251.97</v>
      </c>
      <c r="O56" s="1">
        <v>245.71</v>
      </c>
      <c r="P56" s="1">
        <v>6.26</v>
      </c>
      <c r="Q56" s="226"/>
      <c r="R56" s="1">
        <v>0</v>
      </c>
      <c r="S56" s="1">
        <v>0</v>
      </c>
      <c r="T56" s="1">
        <v>0</v>
      </c>
      <c r="V56" s="4">
        <f t="shared" si="0"/>
        <v>578.37</v>
      </c>
      <c r="W56" s="4">
        <f t="shared" si="0"/>
        <v>547.11</v>
      </c>
      <c r="X56" s="4">
        <f t="shared" si="0"/>
        <v>31.259999999999998</v>
      </c>
      <c r="Z56" s="153">
        <f t="shared" si="1"/>
        <v>326.39999999999998</v>
      </c>
      <c r="AB56" s="1">
        <v>3</v>
      </c>
      <c r="AC56" s="1">
        <v>2.5</v>
      </c>
      <c r="AD56" s="1">
        <v>0.5</v>
      </c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</row>
    <row r="57" spans="1:49" x14ac:dyDescent="0.2">
      <c r="A57" s="8">
        <v>13800</v>
      </c>
      <c r="B57" s="8" t="s">
        <v>113</v>
      </c>
      <c r="C57" s="8" t="s">
        <v>18</v>
      </c>
      <c r="D57" s="29" t="s">
        <v>2</v>
      </c>
      <c r="E57" s="19"/>
      <c r="F57" s="1">
        <v>4832</v>
      </c>
      <c r="G57" s="1">
        <v>4832</v>
      </c>
      <c r="H57" s="1">
        <v>0</v>
      </c>
      <c r="I57" s="226"/>
      <c r="J57" s="1">
        <v>1073.77</v>
      </c>
      <c r="K57" s="1">
        <f t="shared" si="2"/>
        <v>1073.77</v>
      </c>
      <c r="L57" s="1"/>
      <c r="M57" s="226"/>
      <c r="N57" s="1">
        <v>1065</v>
      </c>
      <c r="O57" s="1">
        <v>1065</v>
      </c>
      <c r="P57" s="1">
        <v>0</v>
      </c>
      <c r="Q57" s="226"/>
      <c r="R57" s="1">
        <v>27.9</v>
      </c>
      <c r="S57" s="1">
        <v>27.9</v>
      </c>
      <c r="T57" s="1">
        <v>0</v>
      </c>
      <c r="V57" s="4">
        <f t="shared" si="0"/>
        <v>6998.67</v>
      </c>
      <c r="W57" s="4">
        <f t="shared" si="0"/>
        <v>6998.67</v>
      </c>
      <c r="X57" s="4">
        <f t="shared" si="0"/>
        <v>0</v>
      </c>
      <c r="Z57" s="153">
        <f t="shared" si="1"/>
        <v>5905.77</v>
      </c>
      <c r="AB57" s="1">
        <v>1.2</v>
      </c>
      <c r="AC57" s="1">
        <v>1.2</v>
      </c>
      <c r="AD57" s="1">
        <v>0</v>
      </c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</row>
    <row r="58" spans="1:49" x14ac:dyDescent="0.2">
      <c r="A58" s="8">
        <v>13850</v>
      </c>
      <c r="B58" s="8" t="s">
        <v>114</v>
      </c>
      <c r="C58" s="8" t="s">
        <v>68</v>
      </c>
      <c r="D58" s="29" t="s">
        <v>1</v>
      </c>
      <c r="E58" s="19">
        <v>1</v>
      </c>
      <c r="F58" s="1">
        <v>0</v>
      </c>
      <c r="G58" s="1">
        <v>0</v>
      </c>
      <c r="H58" s="1">
        <v>0</v>
      </c>
      <c r="I58" s="226"/>
      <c r="J58" s="1">
        <v>80.2</v>
      </c>
      <c r="K58" s="1">
        <f t="shared" si="2"/>
        <v>80.2</v>
      </c>
      <c r="L58" s="1"/>
      <c r="M58" s="226"/>
      <c r="N58" s="1">
        <v>2187</v>
      </c>
      <c r="O58" s="1">
        <v>2187</v>
      </c>
      <c r="P58" s="1">
        <v>0</v>
      </c>
      <c r="Q58" s="226"/>
      <c r="R58" s="1">
        <v>0</v>
      </c>
      <c r="S58" s="1">
        <v>0</v>
      </c>
      <c r="T58" s="1">
        <v>0</v>
      </c>
      <c r="V58" s="4">
        <f t="shared" si="0"/>
        <v>2267.1999999999998</v>
      </c>
      <c r="W58" s="4">
        <f t="shared" si="0"/>
        <v>2267.1999999999998</v>
      </c>
      <c r="X58" s="4">
        <f t="shared" si="0"/>
        <v>0</v>
      </c>
      <c r="Z58" s="153">
        <f t="shared" si="1"/>
        <v>80.2</v>
      </c>
      <c r="AB58" s="1">
        <v>0</v>
      </c>
      <c r="AC58" s="1">
        <v>0</v>
      </c>
      <c r="AD58" s="1">
        <v>0</v>
      </c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</row>
    <row r="59" spans="1:49" x14ac:dyDescent="0.2">
      <c r="A59" s="8">
        <v>13910</v>
      </c>
      <c r="B59" s="8" t="s">
        <v>115</v>
      </c>
      <c r="C59" s="8" t="s">
        <v>67</v>
      </c>
      <c r="D59" s="29" t="s">
        <v>1</v>
      </c>
      <c r="E59" s="19"/>
      <c r="F59" s="1">
        <v>10487</v>
      </c>
      <c r="G59" s="1">
        <v>8270</v>
      </c>
      <c r="H59" s="1">
        <v>2217</v>
      </c>
      <c r="I59" s="226"/>
      <c r="J59" s="1">
        <v>432.03999999999996</v>
      </c>
      <c r="K59" s="1">
        <f t="shared" si="2"/>
        <v>432.03999999999996</v>
      </c>
      <c r="L59" s="1"/>
      <c r="M59" s="226"/>
      <c r="N59" s="1">
        <v>10862</v>
      </c>
      <c r="O59" s="1">
        <v>8871</v>
      </c>
      <c r="P59" s="1">
        <v>1991</v>
      </c>
      <c r="Q59" s="226"/>
      <c r="R59" s="1">
        <v>0</v>
      </c>
      <c r="S59" s="1">
        <v>0</v>
      </c>
      <c r="T59" s="1">
        <v>0</v>
      </c>
      <c r="V59" s="4">
        <f t="shared" si="0"/>
        <v>21781.040000000001</v>
      </c>
      <c r="W59" s="4">
        <f t="shared" si="0"/>
        <v>17573.04</v>
      </c>
      <c r="X59" s="4">
        <f t="shared" si="0"/>
        <v>4208</v>
      </c>
      <c r="Z59" s="153">
        <f t="shared" si="1"/>
        <v>10919.04</v>
      </c>
      <c r="AB59" s="1">
        <v>250</v>
      </c>
      <c r="AC59" s="1">
        <v>250</v>
      </c>
      <c r="AD59" s="1">
        <v>0</v>
      </c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</row>
    <row r="60" spans="1:49" x14ac:dyDescent="0.2">
      <c r="A60" s="8">
        <v>14000</v>
      </c>
      <c r="B60" s="8" t="s">
        <v>116</v>
      </c>
      <c r="C60" s="8" t="s">
        <v>24</v>
      </c>
      <c r="D60" s="29" t="s">
        <v>2</v>
      </c>
      <c r="E60" s="19"/>
      <c r="F60" s="1">
        <v>9816</v>
      </c>
      <c r="G60" s="1">
        <v>9129</v>
      </c>
      <c r="H60" s="1">
        <v>687</v>
      </c>
      <c r="I60" s="226"/>
      <c r="J60" s="1">
        <v>1210.8499999999999</v>
      </c>
      <c r="K60" s="1">
        <f t="shared" si="2"/>
        <v>1210.8499999999999</v>
      </c>
      <c r="L60" s="1"/>
      <c r="M60" s="226"/>
      <c r="N60" s="1">
        <v>600</v>
      </c>
      <c r="O60" s="1">
        <v>600</v>
      </c>
      <c r="P60" s="1">
        <v>0</v>
      </c>
      <c r="Q60" s="226"/>
      <c r="R60" s="1">
        <v>0</v>
      </c>
      <c r="S60" s="1">
        <v>0</v>
      </c>
      <c r="T60" s="1">
        <v>0</v>
      </c>
      <c r="V60" s="4">
        <f t="shared" si="0"/>
        <v>11626.85</v>
      </c>
      <c r="W60" s="4">
        <f t="shared" si="0"/>
        <v>10939.85</v>
      </c>
      <c r="X60" s="4">
        <f t="shared" si="0"/>
        <v>687</v>
      </c>
      <c r="Z60" s="153">
        <f t="shared" si="1"/>
        <v>11026.85</v>
      </c>
      <c r="AB60" s="1">
        <v>0</v>
      </c>
      <c r="AC60" s="1">
        <v>0</v>
      </c>
      <c r="AD60" s="1">
        <v>0</v>
      </c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</row>
    <row r="61" spans="1:49" x14ac:dyDescent="0.2">
      <c r="A61" s="8">
        <v>14100</v>
      </c>
      <c r="B61" s="8" t="s">
        <v>49</v>
      </c>
      <c r="C61" s="8" t="s">
        <v>24</v>
      </c>
      <c r="D61" s="29" t="s">
        <v>2</v>
      </c>
      <c r="E61" s="19"/>
      <c r="F61" s="1">
        <v>1007.63</v>
      </c>
      <c r="G61" s="1">
        <v>1007.63</v>
      </c>
      <c r="H61" s="1">
        <v>0</v>
      </c>
      <c r="I61" s="226"/>
      <c r="J61" s="1">
        <v>188.14</v>
      </c>
      <c r="K61" s="1">
        <f t="shared" si="2"/>
        <v>188.14</v>
      </c>
      <c r="L61" s="1"/>
      <c r="M61" s="226"/>
      <c r="N61" s="1">
        <v>0</v>
      </c>
      <c r="O61" s="1">
        <v>0</v>
      </c>
      <c r="P61" s="1">
        <v>0</v>
      </c>
      <c r="Q61" s="226"/>
      <c r="R61" s="1">
        <v>0</v>
      </c>
      <c r="S61" s="1">
        <v>0</v>
      </c>
      <c r="T61" s="1">
        <v>0</v>
      </c>
      <c r="V61" s="4">
        <f t="shared" si="0"/>
        <v>1195.77</v>
      </c>
      <c r="W61" s="4">
        <f t="shared" si="0"/>
        <v>1195.77</v>
      </c>
      <c r="X61" s="4">
        <f t="shared" si="0"/>
        <v>0</v>
      </c>
      <c r="Z61" s="153">
        <f t="shared" si="1"/>
        <v>1195.77</v>
      </c>
      <c r="AB61" s="1">
        <v>0</v>
      </c>
      <c r="AC61" s="1">
        <v>0</v>
      </c>
      <c r="AD61" s="1">
        <v>0</v>
      </c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</row>
    <row r="62" spans="1:49" x14ac:dyDescent="0.2">
      <c r="A62" s="8">
        <v>14170</v>
      </c>
      <c r="B62" s="8" t="s">
        <v>50</v>
      </c>
      <c r="C62" s="8" t="s">
        <v>17</v>
      </c>
      <c r="D62" s="29" t="s">
        <v>2</v>
      </c>
      <c r="E62" s="19"/>
      <c r="F62" s="1">
        <v>10797</v>
      </c>
      <c r="G62" s="1">
        <v>10797</v>
      </c>
      <c r="H62" s="1">
        <v>0</v>
      </c>
      <c r="I62" s="226"/>
      <c r="J62" s="1">
        <v>2667.14</v>
      </c>
      <c r="K62" s="1">
        <f t="shared" si="2"/>
        <v>2667.14</v>
      </c>
      <c r="L62" s="1"/>
      <c r="M62" s="226"/>
      <c r="N62" s="1">
        <v>5.3000000000000007</v>
      </c>
      <c r="O62" s="1">
        <v>5.3000000000000007</v>
      </c>
      <c r="P62" s="1">
        <v>0</v>
      </c>
      <c r="Q62" s="226"/>
      <c r="R62" s="1">
        <v>0</v>
      </c>
      <c r="S62" s="1">
        <v>0</v>
      </c>
      <c r="T62" s="1">
        <v>0</v>
      </c>
      <c r="V62" s="4">
        <f t="shared" si="0"/>
        <v>13469.439999999999</v>
      </c>
      <c r="W62" s="4">
        <f t="shared" si="0"/>
        <v>13469.439999999999</v>
      </c>
      <c r="X62" s="4">
        <f t="shared" si="0"/>
        <v>0</v>
      </c>
      <c r="Z62" s="153">
        <f t="shared" si="1"/>
        <v>13464.14</v>
      </c>
      <c r="AB62" s="1">
        <v>0</v>
      </c>
      <c r="AC62" s="1">
        <v>0</v>
      </c>
      <c r="AD62" s="1">
        <v>0</v>
      </c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</row>
    <row r="63" spans="1:49" x14ac:dyDescent="0.2">
      <c r="A63" s="8">
        <v>14220</v>
      </c>
      <c r="B63" s="8" t="s">
        <v>117</v>
      </c>
      <c r="C63" s="8" t="s">
        <v>16</v>
      </c>
      <c r="D63" s="29" t="s">
        <v>1</v>
      </c>
      <c r="E63" s="19"/>
      <c r="F63" s="1">
        <v>879</v>
      </c>
      <c r="G63" s="1">
        <v>581</v>
      </c>
      <c r="H63" s="1">
        <v>298</v>
      </c>
      <c r="I63" s="226"/>
      <c r="J63" s="1">
        <v>373.23</v>
      </c>
      <c r="K63" s="1">
        <f t="shared" si="2"/>
        <v>373.23</v>
      </c>
      <c r="L63" s="1"/>
      <c r="M63" s="226"/>
      <c r="N63" s="1">
        <v>1657.69</v>
      </c>
      <c r="O63" s="1">
        <v>1657.69</v>
      </c>
      <c r="P63" s="1">
        <v>0</v>
      </c>
      <c r="Q63" s="226"/>
      <c r="R63" s="1">
        <v>5.82</v>
      </c>
      <c r="S63" s="1">
        <v>5.82</v>
      </c>
      <c r="T63" s="1">
        <v>0</v>
      </c>
      <c r="V63" s="4">
        <f t="shared" si="0"/>
        <v>2915.7400000000002</v>
      </c>
      <c r="W63" s="4">
        <f t="shared" si="0"/>
        <v>2617.7400000000002</v>
      </c>
      <c r="X63" s="4">
        <f t="shared" si="0"/>
        <v>298</v>
      </c>
      <c r="Z63" s="153">
        <f t="shared" si="1"/>
        <v>1252.23</v>
      </c>
      <c r="AB63" s="1">
        <v>0</v>
      </c>
      <c r="AC63" s="1">
        <v>0</v>
      </c>
      <c r="AD63" s="1">
        <v>0</v>
      </c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</row>
    <row r="64" spans="1:49" x14ac:dyDescent="0.2">
      <c r="A64" s="8">
        <v>14300</v>
      </c>
      <c r="B64" s="8" t="s">
        <v>118</v>
      </c>
      <c r="C64" s="8" t="s">
        <v>21</v>
      </c>
      <c r="D64" s="29" t="s">
        <v>1</v>
      </c>
      <c r="E64" s="19"/>
      <c r="F64" s="1">
        <v>243.89</v>
      </c>
      <c r="G64" s="1">
        <v>243.89</v>
      </c>
      <c r="H64" s="1">
        <v>0</v>
      </c>
      <c r="I64" s="226"/>
      <c r="J64" s="1">
        <v>46.86</v>
      </c>
      <c r="K64" s="1">
        <f t="shared" si="2"/>
        <v>46.86</v>
      </c>
      <c r="L64" s="1"/>
      <c r="M64" s="226"/>
      <c r="N64" s="1">
        <v>143.79</v>
      </c>
      <c r="O64" s="1">
        <v>143.79</v>
      </c>
      <c r="P64" s="1">
        <v>0</v>
      </c>
      <c r="Q64" s="226"/>
      <c r="R64" s="1">
        <v>0</v>
      </c>
      <c r="S64" s="1">
        <v>0</v>
      </c>
      <c r="T64" s="1">
        <v>0</v>
      </c>
      <c r="V64" s="4">
        <f t="shared" si="0"/>
        <v>434.53999999999996</v>
      </c>
      <c r="W64" s="4">
        <f t="shared" si="0"/>
        <v>434.53999999999996</v>
      </c>
      <c r="X64" s="4">
        <f t="shared" si="0"/>
        <v>0</v>
      </c>
      <c r="Z64" s="153">
        <f t="shared" si="1"/>
        <v>290.75</v>
      </c>
      <c r="AB64" s="1">
        <v>0</v>
      </c>
      <c r="AC64" s="1">
        <v>0</v>
      </c>
      <c r="AD64" s="1">
        <v>0</v>
      </c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</row>
    <row r="65" spans="1:49" x14ac:dyDescent="0.2">
      <c r="A65" s="8">
        <v>14350</v>
      </c>
      <c r="B65" s="8" t="s">
        <v>119</v>
      </c>
      <c r="C65" s="8" t="s">
        <v>39</v>
      </c>
      <c r="D65" s="29" t="s">
        <v>3</v>
      </c>
      <c r="E65" s="19"/>
      <c r="F65" s="1">
        <v>1980</v>
      </c>
      <c r="G65" s="1">
        <v>1980</v>
      </c>
      <c r="H65" s="1">
        <v>0</v>
      </c>
      <c r="I65" s="226"/>
      <c r="J65" s="1">
        <v>1080.43</v>
      </c>
      <c r="K65" s="1">
        <f t="shared" si="2"/>
        <v>1080.43</v>
      </c>
      <c r="L65" s="1"/>
      <c r="M65" s="226"/>
      <c r="N65" s="1">
        <v>8720.91</v>
      </c>
      <c r="O65" s="1">
        <v>8720.91</v>
      </c>
      <c r="P65" s="1">
        <v>0</v>
      </c>
      <c r="Q65" s="226"/>
      <c r="R65" s="1">
        <v>0</v>
      </c>
      <c r="S65" s="1">
        <v>0</v>
      </c>
      <c r="T65" s="1">
        <v>0</v>
      </c>
      <c r="V65" s="4">
        <f t="shared" si="0"/>
        <v>11781.34</v>
      </c>
      <c r="W65" s="4">
        <f t="shared" si="0"/>
        <v>11781.34</v>
      </c>
      <c r="X65" s="4">
        <f t="shared" si="0"/>
        <v>0</v>
      </c>
      <c r="Z65" s="153">
        <f t="shared" si="1"/>
        <v>3060.4300000000003</v>
      </c>
      <c r="AB65" s="1">
        <v>898</v>
      </c>
      <c r="AC65" s="1">
        <v>898</v>
      </c>
      <c r="AD65" s="1">
        <v>0</v>
      </c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</row>
    <row r="66" spans="1:49" x14ac:dyDescent="0.2">
      <c r="A66" s="8">
        <v>14400</v>
      </c>
      <c r="B66" s="8" t="s">
        <v>120</v>
      </c>
      <c r="C66" s="8" t="s">
        <v>37</v>
      </c>
      <c r="D66" s="29" t="s">
        <v>2</v>
      </c>
      <c r="E66" s="19"/>
      <c r="F66" s="1">
        <v>2345.19</v>
      </c>
      <c r="G66" s="1">
        <v>2345.19</v>
      </c>
      <c r="H66" s="1">
        <v>0</v>
      </c>
      <c r="I66" s="226"/>
      <c r="J66" s="1">
        <v>206.52</v>
      </c>
      <c r="K66" s="1">
        <f t="shared" si="2"/>
        <v>206.52</v>
      </c>
      <c r="L66" s="1"/>
      <c r="M66" s="226"/>
      <c r="N66" s="1">
        <v>0</v>
      </c>
      <c r="O66" s="1">
        <v>0</v>
      </c>
      <c r="P66" s="1">
        <v>0</v>
      </c>
      <c r="Q66" s="226"/>
      <c r="R66" s="1">
        <v>0</v>
      </c>
      <c r="S66" s="1">
        <v>0</v>
      </c>
      <c r="T66" s="1">
        <v>0</v>
      </c>
      <c r="V66" s="4">
        <f t="shared" si="0"/>
        <v>2551.71</v>
      </c>
      <c r="W66" s="4">
        <f t="shared" si="0"/>
        <v>2551.71</v>
      </c>
      <c r="X66" s="4">
        <f t="shared" si="0"/>
        <v>0</v>
      </c>
      <c r="Z66" s="153">
        <f t="shared" si="1"/>
        <v>2551.71</v>
      </c>
      <c r="AB66" s="1">
        <v>0</v>
      </c>
      <c r="AC66" s="1">
        <v>0</v>
      </c>
      <c r="AD66" s="1">
        <v>0</v>
      </c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</row>
    <row r="67" spans="1:49" x14ac:dyDescent="0.2">
      <c r="A67" s="8">
        <v>14500</v>
      </c>
      <c r="B67" s="8" t="s">
        <v>51</v>
      </c>
      <c r="C67" s="8" t="s">
        <v>24</v>
      </c>
      <c r="D67" s="29" t="s">
        <v>2</v>
      </c>
      <c r="E67" s="19"/>
      <c r="F67" s="1">
        <v>9251.08</v>
      </c>
      <c r="G67" s="1">
        <v>9251.08</v>
      </c>
      <c r="H67" s="1">
        <v>0</v>
      </c>
      <c r="I67" s="226"/>
      <c r="J67" s="1">
        <v>360.19</v>
      </c>
      <c r="K67" s="1">
        <f t="shared" si="2"/>
        <v>360.19</v>
      </c>
      <c r="L67" s="1"/>
      <c r="M67" s="226"/>
      <c r="N67" s="1">
        <v>101.06</v>
      </c>
      <c r="O67" s="1">
        <v>101.06</v>
      </c>
      <c r="P67" s="1">
        <v>0</v>
      </c>
      <c r="Q67" s="226"/>
      <c r="R67" s="1">
        <v>439.02</v>
      </c>
      <c r="S67" s="1">
        <v>439.02</v>
      </c>
      <c r="T67" s="1">
        <v>0</v>
      </c>
      <c r="V67" s="4">
        <f t="shared" si="0"/>
        <v>10151.35</v>
      </c>
      <c r="W67" s="4">
        <f t="shared" si="0"/>
        <v>10151.35</v>
      </c>
      <c r="X67" s="4">
        <f t="shared" si="0"/>
        <v>0</v>
      </c>
      <c r="Z67" s="153">
        <f t="shared" si="1"/>
        <v>9611.27</v>
      </c>
      <c r="AB67" s="1">
        <v>168.23</v>
      </c>
      <c r="AC67" s="1">
        <v>168.23</v>
      </c>
      <c r="AD67" s="1">
        <v>0</v>
      </c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</row>
    <row r="68" spans="1:49" x14ac:dyDescent="0.2">
      <c r="A68" s="8">
        <v>14550</v>
      </c>
      <c r="B68" s="8" t="s">
        <v>121</v>
      </c>
      <c r="C68" s="8" t="s">
        <v>19</v>
      </c>
      <c r="D68" s="29" t="s">
        <v>3</v>
      </c>
      <c r="E68" s="19"/>
      <c r="F68" s="1">
        <v>219.42</v>
      </c>
      <c r="G68" s="1">
        <v>219.42</v>
      </c>
      <c r="H68" s="1">
        <v>0</v>
      </c>
      <c r="I68" s="226"/>
      <c r="J68" s="1">
        <v>133.69999999999999</v>
      </c>
      <c r="K68" s="1">
        <f t="shared" si="2"/>
        <v>133.69999999999999</v>
      </c>
      <c r="L68" s="1"/>
      <c r="M68" s="226"/>
      <c r="N68" s="1">
        <v>957.56</v>
      </c>
      <c r="O68" s="1">
        <v>957.56</v>
      </c>
      <c r="P68" s="1">
        <v>0</v>
      </c>
      <c r="Q68" s="226"/>
      <c r="R68" s="1">
        <v>0</v>
      </c>
      <c r="S68" s="1">
        <v>0</v>
      </c>
      <c r="T68" s="1">
        <v>0</v>
      </c>
      <c r="V68" s="4">
        <f t="shared" si="0"/>
        <v>1310.68</v>
      </c>
      <c r="W68" s="4">
        <f t="shared" si="0"/>
        <v>1310.68</v>
      </c>
      <c r="X68" s="4">
        <f t="shared" si="0"/>
        <v>0</v>
      </c>
      <c r="Z68" s="153">
        <f t="shared" si="1"/>
        <v>353.12</v>
      </c>
      <c r="AB68" s="1">
        <v>0</v>
      </c>
      <c r="AC68" s="1">
        <v>0</v>
      </c>
      <c r="AD68" s="1">
        <v>0</v>
      </c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</row>
    <row r="69" spans="1:49" x14ac:dyDescent="0.2">
      <c r="A69" s="8">
        <v>14600</v>
      </c>
      <c r="B69" s="8" t="s">
        <v>122</v>
      </c>
      <c r="C69" s="8" t="s">
        <v>38</v>
      </c>
      <c r="D69" s="29" t="s">
        <v>1</v>
      </c>
      <c r="E69" s="19"/>
      <c r="F69" s="1">
        <v>113</v>
      </c>
      <c r="G69" s="1">
        <v>113</v>
      </c>
      <c r="H69" s="1">
        <v>0</v>
      </c>
      <c r="I69" s="226"/>
      <c r="J69" s="1">
        <v>38.51</v>
      </c>
      <c r="K69" s="1">
        <f t="shared" si="2"/>
        <v>38.51</v>
      </c>
      <c r="L69" s="1"/>
      <c r="M69" s="226"/>
      <c r="N69" s="1">
        <v>0</v>
      </c>
      <c r="O69" s="1">
        <v>0</v>
      </c>
      <c r="P69" s="1">
        <v>0</v>
      </c>
      <c r="Q69" s="226"/>
      <c r="R69" s="1">
        <v>0</v>
      </c>
      <c r="S69" s="1">
        <v>0</v>
      </c>
      <c r="T69" s="1">
        <v>0</v>
      </c>
      <c r="V69" s="4">
        <f t="shared" si="0"/>
        <v>151.51</v>
      </c>
      <c r="W69" s="4">
        <f t="shared" si="0"/>
        <v>151.51</v>
      </c>
      <c r="X69" s="4">
        <f t="shared" si="0"/>
        <v>0</v>
      </c>
      <c r="Z69" s="153">
        <f t="shared" si="1"/>
        <v>151.51</v>
      </c>
      <c r="AB69" s="1">
        <v>0</v>
      </c>
      <c r="AC69" s="1">
        <v>0</v>
      </c>
      <c r="AD69" s="1">
        <v>0</v>
      </c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</row>
    <row r="70" spans="1:49" x14ac:dyDescent="0.2">
      <c r="A70" s="8">
        <v>14650</v>
      </c>
      <c r="B70" s="8" t="s">
        <v>123</v>
      </c>
      <c r="C70" s="8" t="s">
        <v>23</v>
      </c>
      <c r="D70" s="29" t="s">
        <v>2</v>
      </c>
      <c r="E70" s="19"/>
      <c r="F70" s="1">
        <v>16315.59</v>
      </c>
      <c r="G70" s="1">
        <v>14910.82</v>
      </c>
      <c r="H70" s="1">
        <v>1404.77</v>
      </c>
      <c r="I70" s="226"/>
      <c r="J70" s="1">
        <v>4474.3099999999995</v>
      </c>
      <c r="K70" s="1">
        <f t="shared" si="2"/>
        <v>4474.3099999999995</v>
      </c>
      <c r="L70" s="1"/>
      <c r="M70" s="226"/>
      <c r="N70" s="1">
        <v>890.57999999999981</v>
      </c>
      <c r="O70" s="1">
        <v>890.57999999999981</v>
      </c>
      <c r="P70" s="1">
        <v>0</v>
      </c>
      <c r="Q70" s="226"/>
      <c r="R70" s="1">
        <v>887.16</v>
      </c>
      <c r="S70" s="1">
        <v>887.16</v>
      </c>
      <c r="T70" s="1">
        <v>0</v>
      </c>
      <c r="V70" s="4">
        <f t="shared" ref="V70:X132" si="3">F70+N70+R70+J70</f>
        <v>22567.64</v>
      </c>
      <c r="W70" s="4">
        <f t="shared" si="3"/>
        <v>21162.870000000003</v>
      </c>
      <c r="X70" s="4">
        <f t="shared" si="3"/>
        <v>1404.77</v>
      </c>
      <c r="Z70" s="153">
        <f t="shared" ref="Z70:Z133" si="4">F70+J70</f>
        <v>20789.900000000001</v>
      </c>
      <c r="AB70" s="1">
        <v>0</v>
      </c>
      <c r="AC70" s="1">
        <v>0</v>
      </c>
      <c r="AD70" s="1">
        <v>0</v>
      </c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</row>
    <row r="71" spans="1:49" x14ac:dyDescent="0.2">
      <c r="A71" s="8">
        <v>14700</v>
      </c>
      <c r="B71" s="8" t="s">
        <v>52</v>
      </c>
      <c r="C71" s="8" t="s">
        <v>24</v>
      </c>
      <c r="D71" s="29" t="s">
        <v>2</v>
      </c>
      <c r="E71" s="19"/>
      <c r="F71" s="1">
        <v>2685.88</v>
      </c>
      <c r="G71" s="1">
        <v>2685.88</v>
      </c>
      <c r="H71" s="1">
        <v>0</v>
      </c>
      <c r="I71" s="226"/>
      <c r="J71" s="1">
        <v>885.67000000000007</v>
      </c>
      <c r="K71" s="1">
        <f t="shared" ref="K71:K133" si="5">J71</f>
        <v>885.67000000000007</v>
      </c>
      <c r="L71" s="1"/>
      <c r="M71" s="226"/>
      <c r="N71" s="1">
        <v>43</v>
      </c>
      <c r="O71" s="1">
        <v>43</v>
      </c>
      <c r="P71" s="1">
        <v>0</v>
      </c>
      <c r="Q71" s="226"/>
      <c r="R71" s="1">
        <v>0</v>
      </c>
      <c r="S71" s="1">
        <v>0</v>
      </c>
      <c r="T71" s="1">
        <v>0</v>
      </c>
      <c r="V71" s="4">
        <f t="shared" si="3"/>
        <v>3614.55</v>
      </c>
      <c r="W71" s="4">
        <f t="shared" si="3"/>
        <v>3614.55</v>
      </c>
      <c r="X71" s="4">
        <f t="shared" si="3"/>
        <v>0</v>
      </c>
      <c r="Z71" s="153">
        <f t="shared" si="4"/>
        <v>3571.55</v>
      </c>
      <c r="AB71" s="1">
        <v>0</v>
      </c>
      <c r="AC71" s="1">
        <v>0</v>
      </c>
      <c r="AD71" s="1">
        <v>0</v>
      </c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</row>
    <row r="72" spans="1:49" x14ac:dyDescent="0.2">
      <c r="A72" s="8">
        <v>14750</v>
      </c>
      <c r="B72" s="8" t="s">
        <v>124</v>
      </c>
      <c r="C72" s="8" t="s">
        <v>68</v>
      </c>
      <c r="D72" s="29" t="s">
        <v>1</v>
      </c>
      <c r="E72" s="19"/>
      <c r="F72" s="1">
        <v>505.32</v>
      </c>
      <c r="G72" s="1">
        <v>482.59</v>
      </c>
      <c r="H72" s="1">
        <v>22.73</v>
      </c>
      <c r="I72" s="226"/>
      <c r="J72" s="1">
        <v>281.43</v>
      </c>
      <c r="K72" s="1">
        <f t="shared" si="5"/>
        <v>281.43</v>
      </c>
      <c r="L72" s="1"/>
      <c r="M72" s="226"/>
      <c r="N72" s="1">
        <v>205.80999999999997</v>
      </c>
      <c r="O72" s="1">
        <v>205.80999999999997</v>
      </c>
      <c r="P72" s="1">
        <v>0</v>
      </c>
      <c r="Q72" s="226"/>
      <c r="R72" s="1">
        <v>0</v>
      </c>
      <c r="S72" s="1">
        <v>0</v>
      </c>
      <c r="T72" s="1">
        <v>0</v>
      </c>
      <c r="V72" s="4">
        <f t="shared" si="3"/>
        <v>992.56</v>
      </c>
      <c r="W72" s="4">
        <f t="shared" si="3"/>
        <v>969.82999999999993</v>
      </c>
      <c r="X72" s="4">
        <f t="shared" si="3"/>
        <v>22.73</v>
      </c>
      <c r="Z72" s="153">
        <f t="shared" si="4"/>
        <v>786.75</v>
      </c>
      <c r="AB72" s="1">
        <v>0</v>
      </c>
      <c r="AC72" s="1">
        <v>0</v>
      </c>
      <c r="AD72" s="1">
        <v>0</v>
      </c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</row>
    <row r="73" spans="1:49" x14ac:dyDescent="0.2">
      <c r="A73" s="8">
        <v>14850</v>
      </c>
      <c r="B73" s="8" t="s">
        <v>125</v>
      </c>
      <c r="C73" s="8" t="s">
        <v>19</v>
      </c>
      <c r="D73" s="29" t="s">
        <v>3</v>
      </c>
      <c r="E73" s="19"/>
      <c r="F73" s="1">
        <v>3014</v>
      </c>
      <c r="G73" s="1">
        <v>1742</v>
      </c>
      <c r="H73" s="1">
        <v>1272</v>
      </c>
      <c r="I73" s="226"/>
      <c r="J73" s="1">
        <v>1031.52</v>
      </c>
      <c r="K73" s="1">
        <f t="shared" si="5"/>
        <v>1031.52</v>
      </c>
      <c r="L73" s="1"/>
      <c r="M73" s="226"/>
      <c r="N73" s="1">
        <v>4000</v>
      </c>
      <c r="O73" s="1">
        <v>4000</v>
      </c>
      <c r="P73" s="1">
        <v>0</v>
      </c>
      <c r="Q73" s="226"/>
      <c r="R73" s="1">
        <v>0</v>
      </c>
      <c r="S73" s="1">
        <v>0</v>
      </c>
      <c r="T73" s="1">
        <v>0</v>
      </c>
      <c r="V73" s="4">
        <f t="shared" si="3"/>
        <v>8045.52</v>
      </c>
      <c r="W73" s="4">
        <f t="shared" si="3"/>
        <v>6773.52</v>
      </c>
      <c r="X73" s="4">
        <f t="shared" si="3"/>
        <v>1272</v>
      </c>
      <c r="Z73" s="153">
        <f t="shared" si="4"/>
        <v>4045.52</v>
      </c>
      <c r="AB73" s="1">
        <v>15.62</v>
      </c>
      <c r="AC73" s="1">
        <v>15.62</v>
      </c>
      <c r="AD73" s="1">
        <v>0</v>
      </c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</row>
    <row r="74" spans="1:49" x14ac:dyDescent="0.2">
      <c r="A74" s="8">
        <v>14870</v>
      </c>
      <c r="B74" s="8" t="s">
        <v>126</v>
      </c>
      <c r="C74" s="8" t="s">
        <v>38</v>
      </c>
      <c r="D74" s="29" t="s">
        <v>1</v>
      </c>
      <c r="E74" s="19"/>
      <c r="F74" s="1">
        <v>1097</v>
      </c>
      <c r="G74" s="1">
        <v>1097</v>
      </c>
      <c r="H74" s="1">
        <v>0</v>
      </c>
      <c r="I74" s="226"/>
      <c r="J74" s="1">
        <v>315.58000000000004</v>
      </c>
      <c r="K74" s="1">
        <f t="shared" si="5"/>
        <v>315.58000000000004</v>
      </c>
      <c r="L74" s="1"/>
      <c r="M74" s="226"/>
      <c r="N74" s="1">
        <v>626.09999999999991</v>
      </c>
      <c r="O74" s="1">
        <v>626.09999999999991</v>
      </c>
      <c r="P74" s="1">
        <v>0</v>
      </c>
      <c r="Q74" s="226"/>
      <c r="R74" s="1">
        <v>0</v>
      </c>
      <c r="S74" s="1">
        <v>0</v>
      </c>
      <c r="T74" s="1">
        <v>0</v>
      </c>
      <c r="V74" s="4">
        <f t="shared" si="3"/>
        <v>2038.6799999999998</v>
      </c>
      <c r="W74" s="4">
        <f t="shared" si="3"/>
        <v>2038.6799999999998</v>
      </c>
      <c r="X74" s="4">
        <f t="shared" si="3"/>
        <v>0</v>
      </c>
      <c r="Z74" s="153">
        <f t="shared" si="4"/>
        <v>1412.58</v>
      </c>
      <c r="AB74" s="1">
        <v>0</v>
      </c>
      <c r="AC74" s="1">
        <v>0</v>
      </c>
      <c r="AD74" s="1">
        <v>0</v>
      </c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</row>
    <row r="75" spans="1:49" x14ac:dyDescent="0.2">
      <c r="A75" s="8">
        <v>14900</v>
      </c>
      <c r="B75" s="8" t="s">
        <v>53</v>
      </c>
      <c r="C75" s="8" t="s">
        <v>18</v>
      </c>
      <c r="D75" s="29" t="s">
        <v>2</v>
      </c>
      <c r="E75" s="19"/>
      <c r="F75" s="1">
        <v>15578.62</v>
      </c>
      <c r="G75" s="1">
        <v>14325.470000000001</v>
      </c>
      <c r="H75" s="1">
        <v>1253.1500000000001</v>
      </c>
      <c r="I75" s="226"/>
      <c r="J75" s="1">
        <v>3358.49</v>
      </c>
      <c r="K75" s="1">
        <f t="shared" si="5"/>
        <v>3358.49</v>
      </c>
      <c r="L75" s="1"/>
      <c r="M75" s="226"/>
      <c r="N75" s="1">
        <v>575.84</v>
      </c>
      <c r="O75" s="1">
        <v>575.84</v>
      </c>
      <c r="P75" s="1">
        <v>0</v>
      </c>
      <c r="Q75" s="226"/>
      <c r="R75" s="1">
        <v>588.67999999999995</v>
      </c>
      <c r="S75" s="1">
        <v>576.67999999999995</v>
      </c>
      <c r="T75" s="1">
        <v>12</v>
      </c>
      <c r="V75" s="4">
        <f t="shared" si="3"/>
        <v>20101.629999999997</v>
      </c>
      <c r="W75" s="4">
        <f t="shared" si="3"/>
        <v>18836.480000000003</v>
      </c>
      <c r="X75" s="4">
        <f t="shared" si="3"/>
        <v>1265.1500000000001</v>
      </c>
      <c r="Z75" s="153">
        <f t="shared" si="4"/>
        <v>18937.11</v>
      </c>
      <c r="AB75" s="1">
        <v>0</v>
      </c>
      <c r="AC75" s="1">
        <v>0</v>
      </c>
      <c r="AD75" s="1">
        <v>0</v>
      </c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</row>
    <row r="76" spans="1:49" x14ac:dyDescent="0.2">
      <c r="A76" s="8">
        <v>14920</v>
      </c>
      <c r="B76" s="8" t="s">
        <v>127</v>
      </c>
      <c r="C76" s="8" t="s">
        <v>16</v>
      </c>
      <c r="D76" s="29" t="s">
        <v>1</v>
      </c>
      <c r="E76" s="19"/>
      <c r="F76" s="1">
        <v>439</v>
      </c>
      <c r="G76" s="1">
        <v>359</v>
      </c>
      <c r="H76" s="1">
        <v>80</v>
      </c>
      <c r="I76" s="226"/>
      <c r="J76" s="1">
        <v>47.629999999999995</v>
      </c>
      <c r="K76" s="1">
        <f t="shared" si="5"/>
        <v>47.629999999999995</v>
      </c>
      <c r="L76" s="1"/>
      <c r="M76" s="226"/>
      <c r="N76" s="1">
        <v>0</v>
      </c>
      <c r="O76" s="1">
        <v>0</v>
      </c>
      <c r="P76" s="1">
        <v>0</v>
      </c>
      <c r="Q76" s="226"/>
      <c r="R76" s="1">
        <v>0</v>
      </c>
      <c r="S76" s="1">
        <v>0</v>
      </c>
      <c r="T76" s="1">
        <v>0</v>
      </c>
      <c r="V76" s="4">
        <f t="shared" si="3"/>
        <v>486.63</v>
      </c>
      <c r="W76" s="4">
        <f t="shared" si="3"/>
        <v>406.63</v>
      </c>
      <c r="X76" s="4">
        <f t="shared" si="3"/>
        <v>80</v>
      </c>
      <c r="Z76" s="153">
        <f t="shared" si="4"/>
        <v>486.63</v>
      </c>
      <c r="AB76" s="1">
        <v>0</v>
      </c>
      <c r="AC76" s="1">
        <v>0</v>
      </c>
      <c r="AD76" s="1">
        <v>0</v>
      </c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</row>
    <row r="77" spans="1:49" x14ac:dyDescent="0.2">
      <c r="A77" s="8">
        <v>14950</v>
      </c>
      <c r="B77" s="8" t="s">
        <v>128</v>
      </c>
      <c r="C77" s="8" t="s">
        <v>21</v>
      </c>
      <c r="D77" s="29" t="s">
        <v>1</v>
      </c>
      <c r="E77" s="19"/>
      <c r="F77" s="1">
        <v>170</v>
      </c>
      <c r="G77" s="1">
        <v>170</v>
      </c>
      <c r="H77" s="1">
        <v>0</v>
      </c>
      <c r="I77" s="226"/>
      <c r="J77" s="1">
        <v>0</v>
      </c>
      <c r="K77" s="1">
        <f t="shared" si="5"/>
        <v>0</v>
      </c>
      <c r="L77" s="1"/>
      <c r="M77" s="226"/>
      <c r="N77" s="1">
        <v>97</v>
      </c>
      <c r="O77" s="1">
        <v>96</v>
      </c>
      <c r="P77" s="1">
        <v>1</v>
      </c>
      <c r="Q77" s="226"/>
      <c r="R77" s="1">
        <v>51</v>
      </c>
      <c r="S77" s="1">
        <v>51</v>
      </c>
      <c r="T77" s="1">
        <v>0</v>
      </c>
      <c r="V77" s="4">
        <f t="shared" si="3"/>
        <v>318</v>
      </c>
      <c r="W77" s="4">
        <f t="shared" si="3"/>
        <v>317</v>
      </c>
      <c r="X77" s="4">
        <f t="shared" si="3"/>
        <v>1</v>
      </c>
      <c r="Z77" s="153">
        <f t="shared" si="4"/>
        <v>170</v>
      </c>
      <c r="AB77" s="1">
        <v>0</v>
      </c>
      <c r="AC77" s="1">
        <v>0</v>
      </c>
      <c r="AD77" s="1">
        <v>0</v>
      </c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</row>
    <row r="78" spans="1:49" x14ac:dyDescent="0.2">
      <c r="A78" s="8">
        <v>15050</v>
      </c>
      <c r="B78" s="8" t="s">
        <v>129</v>
      </c>
      <c r="C78" s="8" t="s">
        <v>23</v>
      </c>
      <c r="D78" s="29" t="s">
        <v>2</v>
      </c>
      <c r="E78" s="19"/>
      <c r="F78" s="1">
        <v>5671.21</v>
      </c>
      <c r="G78" s="1">
        <v>5182.92</v>
      </c>
      <c r="H78" s="1">
        <v>488.29</v>
      </c>
      <c r="I78" s="226"/>
      <c r="J78" s="1">
        <v>1271.8800000000001</v>
      </c>
      <c r="K78" s="1">
        <f t="shared" si="5"/>
        <v>1271.8800000000001</v>
      </c>
      <c r="L78" s="1"/>
      <c r="M78" s="226"/>
      <c r="N78" s="1">
        <v>1454.1399999999999</v>
      </c>
      <c r="O78" s="1">
        <v>1454.1399999999999</v>
      </c>
      <c r="P78" s="1">
        <v>0</v>
      </c>
      <c r="Q78" s="226"/>
      <c r="R78" s="1">
        <v>9.1199999999999992</v>
      </c>
      <c r="S78" s="1">
        <v>9.1199999999999992</v>
      </c>
      <c r="T78" s="1">
        <v>0</v>
      </c>
      <c r="V78" s="4">
        <f t="shared" si="3"/>
        <v>8406.35</v>
      </c>
      <c r="W78" s="4">
        <f t="shared" si="3"/>
        <v>7918.0599999999995</v>
      </c>
      <c r="X78" s="4">
        <f t="shared" si="3"/>
        <v>488.29</v>
      </c>
      <c r="Z78" s="153">
        <f t="shared" si="4"/>
        <v>6943.09</v>
      </c>
      <c r="AB78" s="1">
        <v>0</v>
      </c>
      <c r="AC78" s="1">
        <v>0</v>
      </c>
      <c r="AD78" s="1">
        <v>0</v>
      </c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</row>
    <row r="79" spans="1:49" x14ac:dyDescent="0.2">
      <c r="A79" s="8">
        <v>15240</v>
      </c>
      <c r="B79" s="8" t="s">
        <v>130</v>
      </c>
      <c r="C79" s="8" t="s">
        <v>39</v>
      </c>
      <c r="D79" s="29" t="s">
        <v>3</v>
      </c>
      <c r="E79" s="19"/>
      <c r="F79" s="1">
        <v>7990.24</v>
      </c>
      <c r="G79" s="1">
        <v>7423.1399999999994</v>
      </c>
      <c r="H79" s="1">
        <v>567.1</v>
      </c>
      <c r="I79" s="226"/>
      <c r="J79" s="1">
        <v>2597.3900000000003</v>
      </c>
      <c r="K79" s="1">
        <f t="shared" si="5"/>
        <v>2597.3900000000003</v>
      </c>
      <c r="L79" s="1"/>
      <c r="M79" s="226"/>
      <c r="N79" s="1">
        <v>0</v>
      </c>
      <c r="O79" s="1">
        <v>0</v>
      </c>
      <c r="P79" s="1">
        <v>0</v>
      </c>
      <c r="Q79" s="226"/>
      <c r="R79" s="1">
        <v>754.86</v>
      </c>
      <c r="S79" s="1">
        <v>754.86</v>
      </c>
      <c r="T79" s="1">
        <v>0</v>
      </c>
      <c r="V79" s="4">
        <f t="shared" si="3"/>
        <v>11342.490000000002</v>
      </c>
      <c r="W79" s="4">
        <f t="shared" si="3"/>
        <v>10775.39</v>
      </c>
      <c r="X79" s="4">
        <f t="shared" si="3"/>
        <v>567.1</v>
      </c>
      <c r="Z79" s="153">
        <f t="shared" si="4"/>
        <v>10587.630000000001</v>
      </c>
      <c r="AB79" s="1">
        <v>0</v>
      </c>
      <c r="AC79" s="1">
        <v>0</v>
      </c>
      <c r="AD79" s="1">
        <v>0</v>
      </c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</row>
    <row r="80" spans="1:49" x14ac:dyDescent="0.2">
      <c r="A80" s="8">
        <v>15270</v>
      </c>
      <c r="B80" s="8" t="s">
        <v>131</v>
      </c>
      <c r="C80" s="8" t="s">
        <v>38</v>
      </c>
      <c r="D80" s="29" t="s">
        <v>1</v>
      </c>
      <c r="E80" s="19"/>
      <c r="F80" s="1">
        <v>1008.96</v>
      </c>
      <c r="G80" s="1">
        <v>475.80000000000007</v>
      </c>
      <c r="H80" s="1">
        <v>533.16</v>
      </c>
      <c r="I80" s="226"/>
      <c r="J80" s="1">
        <v>512.98</v>
      </c>
      <c r="K80" s="1">
        <f t="shared" si="5"/>
        <v>512.98</v>
      </c>
      <c r="L80" s="1"/>
      <c r="M80" s="226"/>
      <c r="N80" s="1">
        <v>999.38</v>
      </c>
      <c r="O80" s="1">
        <v>999.38</v>
      </c>
      <c r="P80" s="1">
        <v>0</v>
      </c>
      <c r="Q80" s="226"/>
      <c r="R80" s="1">
        <v>0</v>
      </c>
      <c r="S80" s="1">
        <v>0</v>
      </c>
      <c r="T80" s="1">
        <v>0</v>
      </c>
      <c r="V80" s="4">
        <f t="shared" si="3"/>
        <v>2521.3200000000002</v>
      </c>
      <c r="W80" s="4">
        <f t="shared" si="3"/>
        <v>1988.16</v>
      </c>
      <c r="X80" s="4">
        <f t="shared" si="3"/>
        <v>533.16</v>
      </c>
      <c r="Z80" s="153">
        <f t="shared" si="4"/>
        <v>1521.94</v>
      </c>
      <c r="AB80" s="1">
        <v>0</v>
      </c>
      <c r="AC80" s="1">
        <v>0</v>
      </c>
      <c r="AD80" s="1">
        <v>0</v>
      </c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</row>
    <row r="81" spans="1:49" x14ac:dyDescent="0.2">
      <c r="A81" s="8">
        <v>15300</v>
      </c>
      <c r="B81" s="8" t="s">
        <v>132</v>
      </c>
      <c r="C81" s="8" t="s">
        <v>16</v>
      </c>
      <c r="D81" s="29" t="s">
        <v>1</v>
      </c>
      <c r="E81" s="19"/>
      <c r="F81" s="1">
        <v>623.20000000000005</v>
      </c>
      <c r="G81" s="1">
        <v>621.98</v>
      </c>
      <c r="H81" s="1">
        <v>1.22</v>
      </c>
      <c r="I81" s="226"/>
      <c r="J81" s="1">
        <v>207.35000000000002</v>
      </c>
      <c r="K81" s="1">
        <f t="shared" si="5"/>
        <v>207.35000000000002</v>
      </c>
      <c r="L81" s="1"/>
      <c r="M81" s="226"/>
      <c r="N81" s="1">
        <v>0</v>
      </c>
      <c r="O81" s="1">
        <v>0</v>
      </c>
      <c r="P81" s="1">
        <v>0</v>
      </c>
      <c r="Q81" s="226"/>
      <c r="R81" s="1">
        <v>26.76</v>
      </c>
      <c r="S81" s="1">
        <v>26.76</v>
      </c>
      <c r="T81" s="1">
        <v>0</v>
      </c>
      <c r="V81" s="4">
        <f t="shared" si="3"/>
        <v>857.31000000000006</v>
      </c>
      <c r="W81" s="4">
        <f t="shared" si="3"/>
        <v>856.09</v>
      </c>
      <c r="X81" s="4">
        <f t="shared" si="3"/>
        <v>1.22</v>
      </c>
      <c r="Z81" s="153">
        <f t="shared" si="4"/>
        <v>830.55000000000007</v>
      </c>
      <c r="AB81" s="1">
        <v>0</v>
      </c>
      <c r="AC81" s="1">
        <v>0</v>
      </c>
      <c r="AD81" s="1">
        <v>0</v>
      </c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</row>
    <row r="82" spans="1:49" x14ac:dyDescent="0.2">
      <c r="A82" s="8">
        <v>15350</v>
      </c>
      <c r="B82" s="8" t="s">
        <v>133</v>
      </c>
      <c r="C82" s="8" t="s">
        <v>24</v>
      </c>
      <c r="D82" s="29" t="s">
        <v>2</v>
      </c>
      <c r="E82" s="19"/>
      <c r="F82" s="1">
        <v>2298</v>
      </c>
      <c r="G82" s="1">
        <v>2298</v>
      </c>
      <c r="H82" s="1">
        <v>0</v>
      </c>
      <c r="I82" s="226"/>
      <c r="J82" s="1">
        <v>105.46000000000001</v>
      </c>
      <c r="K82" s="1">
        <f t="shared" si="5"/>
        <v>105.46000000000001</v>
      </c>
      <c r="L82" s="1"/>
      <c r="M82" s="226"/>
      <c r="N82" s="1">
        <v>0</v>
      </c>
      <c r="O82" s="1">
        <v>0</v>
      </c>
      <c r="P82" s="1">
        <v>0</v>
      </c>
      <c r="Q82" s="226"/>
      <c r="R82" s="1">
        <v>47</v>
      </c>
      <c r="S82" s="1">
        <v>47</v>
      </c>
      <c r="T82" s="1">
        <v>0</v>
      </c>
      <c r="V82" s="4">
        <f t="shared" si="3"/>
        <v>2450.46</v>
      </c>
      <c r="W82" s="4">
        <f t="shared" si="3"/>
        <v>2450.46</v>
      </c>
      <c r="X82" s="4">
        <f t="shared" si="3"/>
        <v>0</v>
      </c>
      <c r="Z82" s="153">
        <f t="shared" si="4"/>
        <v>2403.46</v>
      </c>
      <c r="AB82" s="1">
        <v>0</v>
      </c>
      <c r="AC82" s="1">
        <v>0</v>
      </c>
      <c r="AD82" s="1">
        <v>0</v>
      </c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</row>
    <row r="83" spans="1:49" x14ac:dyDescent="0.2">
      <c r="A83" s="8">
        <v>15520</v>
      </c>
      <c r="B83" s="8" t="s">
        <v>134</v>
      </c>
      <c r="C83" s="8" t="s">
        <v>66</v>
      </c>
      <c r="D83" s="29" t="s">
        <v>1</v>
      </c>
      <c r="E83" s="19"/>
      <c r="F83" s="1">
        <v>937</v>
      </c>
      <c r="G83" s="1">
        <v>937</v>
      </c>
      <c r="H83" s="1">
        <v>0</v>
      </c>
      <c r="I83" s="226"/>
      <c r="J83" s="1">
        <v>1275.6399999999999</v>
      </c>
      <c r="K83" s="1">
        <f t="shared" si="5"/>
        <v>1275.6399999999999</v>
      </c>
      <c r="L83" s="1"/>
      <c r="M83" s="226"/>
      <c r="N83" s="1">
        <v>0</v>
      </c>
      <c r="O83" s="1">
        <v>0</v>
      </c>
      <c r="P83" s="1">
        <v>0</v>
      </c>
      <c r="Q83" s="226"/>
      <c r="R83" s="1">
        <v>0</v>
      </c>
      <c r="S83" s="1">
        <v>0</v>
      </c>
      <c r="T83" s="1">
        <v>0</v>
      </c>
      <c r="V83" s="4">
        <f t="shared" si="3"/>
        <v>2212.64</v>
      </c>
      <c r="W83" s="4">
        <f t="shared" si="3"/>
        <v>2212.64</v>
      </c>
      <c r="X83" s="4">
        <f t="shared" si="3"/>
        <v>0</v>
      </c>
      <c r="Z83" s="153">
        <f t="shared" si="4"/>
        <v>2212.64</v>
      </c>
      <c r="AB83" s="1">
        <v>0</v>
      </c>
      <c r="AC83" s="1">
        <v>0</v>
      </c>
      <c r="AD83" s="1">
        <v>0</v>
      </c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</row>
    <row r="84" spans="1:49" x14ac:dyDescent="0.2">
      <c r="A84" s="8">
        <v>15560</v>
      </c>
      <c r="B84" s="8" t="s">
        <v>135</v>
      </c>
      <c r="C84" s="8" t="s">
        <v>68</v>
      </c>
      <c r="D84" s="29" t="s">
        <v>1</v>
      </c>
      <c r="E84" s="19"/>
      <c r="F84" s="1">
        <v>96.68</v>
      </c>
      <c r="G84" s="1">
        <v>92.18</v>
      </c>
      <c r="H84" s="1">
        <v>4.5</v>
      </c>
      <c r="I84" s="226"/>
      <c r="J84" s="1">
        <v>0</v>
      </c>
      <c r="K84" s="1">
        <f t="shared" si="5"/>
        <v>0</v>
      </c>
      <c r="L84" s="1"/>
      <c r="M84" s="226"/>
      <c r="N84" s="1">
        <v>2</v>
      </c>
      <c r="O84" s="1">
        <v>2</v>
      </c>
      <c r="P84" s="1">
        <v>0</v>
      </c>
      <c r="Q84" s="226"/>
      <c r="R84" s="1">
        <v>36.5</v>
      </c>
      <c r="S84" s="1">
        <v>5.5</v>
      </c>
      <c r="T84" s="1">
        <v>31</v>
      </c>
      <c r="V84" s="4">
        <f>F84+J84+N84+R84</f>
        <v>135.18</v>
      </c>
      <c r="W84" s="4">
        <f t="shared" si="3"/>
        <v>99.68</v>
      </c>
      <c r="X84" s="4">
        <f t="shared" si="3"/>
        <v>35.5</v>
      </c>
      <c r="Z84" s="153">
        <f t="shared" si="4"/>
        <v>96.68</v>
      </c>
      <c r="AB84" s="1">
        <v>0</v>
      </c>
      <c r="AC84" s="1">
        <v>0</v>
      </c>
      <c r="AD84" s="1">
        <v>0</v>
      </c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</row>
    <row r="85" spans="1:49" x14ac:dyDescent="0.2">
      <c r="A85" s="8">
        <v>15650</v>
      </c>
      <c r="B85" s="8" t="s">
        <v>136</v>
      </c>
      <c r="C85" s="8" t="s">
        <v>23</v>
      </c>
      <c r="D85" s="29" t="s">
        <v>3</v>
      </c>
      <c r="E85" s="19"/>
      <c r="F85" s="1">
        <v>1007.11</v>
      </c>
      <c r="G85" s="1">
        <v>896.04</v>
      </c>
      <c r="H85" s="1">
        <v>111.07</v>
      </c>
      <c r="I85" s="226"/>
      <c r="J85" s="1">
        <v>514.39</v>
      </c>
      <c r="K85" s="1">
        <f t="shared" si="5"/>
        <v>514.39</v>
      </c>
      <c r="L85" s="1"/>
      <c r="M85" s="226"/>
      <c r="N85" s="1">
        <v>454.06</v>
      </c>
      <c r="O85" s="1">
        <v>453</v>
      </c>
      <c r="P85" s="1">
        <v>1.06</v>
      </c>
      <c r="Q85" s="226"/>
      <c r="R85" s="1">
        <v>192.69999999999996</v>
      </c>
      <c r="S85" s="1">
        <v>192.69999999999996</v>
      </c>
      <c r="T85" s="1">
        <v>0</v>
      </c>
      <c r="V85" s="4">
        <f t="shared" si="3"/>
        <v>2168.2600000000002</v>
      </c>
      <c r="W85" s="4">
        <f t="shared" si="3"/>
        <v>2056.13</v>
      </c>
      <c r="X85" s="4">
        <f t="shared" si="3"/>
        <v>112.13</v>
      </c>
      <c r="Z85" s="153">
        <f t="shared" si="4"/>
        <v>1521.5</v>
      </c>
      <c r="AB85" s="1">
        <v>0</v>
      </c>
      <c r="AC85" s="1">
        <v>0</v>
      </c>
      <c r="AD85" s="1">
        <v>0</v>
      </c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</row>
    <row r="86" spans="1:49" x14ac:dyDescent="0.2">
      <c r="A86" s="8">
        <v>15700</v>
      </c>
      <c r="B86" s="8" t="s">
        <v>54</v>
      </c>
      <c r="C86" s="8" t="s">
        <v>39</v>
      </c>
      <c r="D86" s="29" t="s">
        <v>3</v>
      </c>
      <c r="E86" s="19"/>
      <c r="F86" s="1">
        <v>1516</v>
      </c>
      <c r="G86" s="1">
        <v>1516</v>
      </c>
      <c r="H86" s="1">
        <v>0</v>
      </c>
      <c r="I86" s="226"/>
      <c r="J86" s="1">
        <v>587.87</v>
      </c>
      <c r="K86" s="1">
        <f t="shared" si="5"/>
        <v>587.87</v>
      </c>
      <c r="L86" s="1"/>
      <c r="M86" s="226"/>
      <c r="N86" s="1">
        <v>1219</v>
      </c>
      <c r="O86" s="1">
        <v>1219</v>
      </c>
      <c r="P86" s="1">
        <v>0</v>
      </c>
      <c r="Q86" s="226"/>
      <c r="R86" s="1">
        <v>0</v>
      </c>
      <c r="S86" s="1">
        <v>0</v>
      </c>
      <c r="T86" s="1">
        <v>0</v>
      </c>
      <c r="V86" s="4">
        <f t="shared" si="3"/>
        <v>3322.87</v>
      </c>
      <c r="W86" s="4">
        <f t="shared" si="3"/>
        <v>3322.87</v>
      </c>
      <c r="X86" s="4">
        <f t="shared" si="3"/>
        <v>0</v>
      </c>
      <c r="Z86" s="153">
        <f t="shared" si="4"/>
        <v>2103.87</v>
      </c>
      <c r="AB86" s="1">
        <v>0</v>
      </c>
      <c r="AC86" s="1">
        <v>0</v>
      </c>
      <c r="AD86" s="1">
        <v>0</v>
      </c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</row>
    <row r="87" spans="1:49" x14ac:dyDescent="0.2">
      <c r="A87" s="8">
        <v>15750</v>
      </c>
      <c r="B87" s="8" t="s">
        <v>137</v>
      </c>
      <c r="C87" s="8" t="s">
        <v>16</v>
      </c>
      <c r="D87" s="29" t="s">
        <v>1</v>
      </c>
      <c r="E87" s="19"/>
      <c r="F87" s="1">
        <v>532.96</v>
      </c>
      <c r="G87" s="1">
        <v>532.96</v>
      </c>
      <c r="H87" s="1">
        <v>0</v>
      </c>
      <c r="I87" s="226"/>
      <c r="J87" s="1">
        <v>392.8</v>
      </c>
      <c r="K87" s="1">
        <f t="shared" si="5"/>
        <v>392.8</v>
      </c>
      <c r="L87" s="1"/>
      <c r="M87" s="226"/>
      <c r="N87" s="1">
        <v>927.86</v>
      </c>
      <c r="O87" s="1">
        <v>927.86</v>
      </c>
      <c r="P87" s="1">
        <v>0</v>
      </c>
      <c r="Q87" s="226"/>
      <c r="R87" s="1">
        <v>0</v>
      </c>
      <c r="S87" s="1">
        <v>0</v>
      </c>
      <c r="T87" s="1">
        <v>0</v>
      </c>
      <c r="V87" s="4">
        <f t="shared" si="3"/>
        <v>1853.6200000000001</v>
      </c>
      <c r="W87" s="4">
        <f t="shared" si="3"/>
        <v>1853.6200000000001</v>
      </c>
      <c r="X87" s="4">
        <f t="shared" si="3"/>
        <v>0</v>
      </c>
      <c r="Z87" s="153">
        <f t="shared" si="4"/>
        <v>925.76</v>
      </c>
      <c r="AB87" s="1">
        <v>0</v>
      </c>
      <c r="AC87" s="1">
        <v>0</v>
      </c>
      <c r="AD87" s="1">
        <v>0</v>
      </c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</row>
    <row r="88" spans="1:49" x14ac:dyDescent="0.2">
      <c r="A88" s="8">
        <v>15800</v>
      </c>
      <c r="B88" s="8" t="s">
        <v>138</v>
      </c>
      <c r="C88" s="8" t="s">
        <v>68</v>
      </c>
      <c r="D88" s="29" t="s">
        <v>1</v>
      </c>
      <c r="E88" s="19"/>
      <c r="F88" s="1">
        <v>840</v>
      </c>
      <c r="G88" s="1">
        <v>840</v>
      </c>
      <c r="H88" s="1">
        <v>0</v>
      </c>
      <c r="I88" s="226"/>
      <c r="J88" s="1">
        <v>151.82999999999998</v>
      </c>
      <c r="K88" s="1">
        <f t="shared" si="5"/>
        <v>151.82999999999998</v>
      </c>
      <c r="L88" s="1"/>
      <c r="M88" s="226"/>
      <c r="N88" s="1">
        <v>0</v>
      </c>
      <c r="O88" s="1">
        <v>0</v>
      </c>
      <c r="P88" s="1">
        <v>0</v>
      </c>
      <c r="Q88" s="226"/>
      <c r="R88" s="1">
        <v>0</v>
      </c>
      <c r="S88" s="1">
        <v>0</v>
      </c>
      <c r="T88" s="1">
        <v>0</v>
      </c>
      <c r="V88" s="4">
        <f t="shared" si="3"/>
        <v>991.82999999999993</v>
      </c>
      <c r="W88" s="4">
        <f t="shared" si="3"/>
        <v>991.82999999999993</v>
      </c>
      <c r="X88" s="4">
        <f t="shared" si="3"/>
        <v>0</v>
      </c>
      <c r="Z88" s="153">
        <f t="shared" si="4"/>
        <v>991.82999999999993</v>
      </c>
      <c r="AB88" s="1">
        <v>0</v>
      </c>
      <c r="AC88" s="1">
        <v>0</v>
      </c>
      <c r="AD88" s="1">
        <v>0</v>
      </c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</row>
    <row r="89" spans="1:49" x14ac:dyDescent="0.2">
      <c r="A89" s="8">
        <v>15850</v>
      </c>
      <c r="B89" s="8" t="s">
        <v>139</v>
      </c>
      <c r="C89" s="8" t="s">
        <v>38</v>
      </c>
      <c r="D89" s="29" t="s">
        <v>1</v>
      </c>
      <c r="E89" s="19"/>
      <c r="F89" s="1">
        <v>258.01</v>
      </c>
      <c r="G89" s="1">
        <v>258.01</v>
      </c>
      <c r="H89" s="1">
        <v>0</v>
      </c>
      <c r="I89" s="226"/>
      <c r="J89" s="1">
        <v>0.56000000000000005</v>
      </c>
      <c r="K89" s="1">
        <f t="shared" si="5"/>
        <v>0.56000000000000005</v>
      </c>
      <c r="L89" s="1"/>
      <c r="M89" s="226"/>
      <c r="N89" s="1">
        <v>0</v>
      </c>
      <c r="O89" s="1">
        <v>0</v>
      </c>
      <c r="P89" s="1">
        <v>0</v>
      </c>
      <c r="Q89" s="226"/>
      <c r="R89" s="1">
        <v>0</v>
      </c>
      <c r="S89" s="1">
        <v>0</v>
      </c>
      <c r="T89" s="1">
        <v>0</v>
      </c>
      <c r="V89" s="4">
        <f t="shared" si="3"/>
        <v>258.57</v>
      </c>
      <c r="W89" s="4">
        <f t="shared" si="3"/>
        <v>258.57</v>
      </c>
      <c r="X89" s="4">
        <f t="shared" si="3"/>
        <v>0</v>
      </c>
      <c r="Z89" s="153">
        <f t="shared" si="4"/>
        <v>258.57</v>
      </c>
      <c r="AB89" s="1">
        <v>0</v>
      </c>
      <c r="AC89" s="1">
        <v>0</v>
      </c>
      <c r="AD89" s="1">
        <v>0</v>
      </c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</row>
    <row r="90" spans="1:49" x14ac:dyDescent="0.2">
      <c r="A90" s="8">
        <v>15900</v>
      </c>
      <c r="B90" s="8" t="s">
        <v>140</v>
      </c>
      <c r="C90" s="8" t="s">
        <v>23</v>
      </c>
      <c r="D90" s="29" t="s">
        <v>2</v>
      </c>
      <c r="E90" s="19"/>
      <c r="F90" s="1">
        <v>12306</v>
      </c>
      <c r="G90" s="1">
        <v>10485</v>
      </c>
      <c r="H90" s="1">
        <v>1821</v>
      </c>
      <c r="I90" s="226"/>
      <c r="J90" s="1">
        <v>3228.9399999999996</v>
      </c>
      <c r="K90" s="1">
        <f t="shared" si="5"/>
        <v>3228.9399999999996</v>
      </c>
      <c r="L90" s="1"/>
      <c r="M90" s="226"/>
      <c r="N90" s="1">
        <v>608</v>
      </c>
      <c r="O90" s="1">
        <v>314</v>
      </c>
      <c r="P90" s="1">
        <v>294</v>
      </c>
      <c r="Q90" s="226"/>
      <c r="R90" s="1">
        <v>440.63</v>
      </c>
      <c r="S90" s="1">
        <v>284.68</v>
      </c>
      <c r="T90" s="1">
        <v>155.94999999999999</v>
      </c>
      <c r="V90" s="4">
        <f t="shared" si="3"/>
        <v>16583.57</v>
      </c>
      <c r="W90" s="4">
        <f t="shared" si="3"/>
        <v>14312.619999999999</v>
      </c>
      <c r="X90" s="4">
        <f t="shared" si="3"/>
        <v>2270.9499999999998</v>
      </c>
      <c r="Z90" s="153">
        <f t="shared" si="4"/>
        <v>15534.939999999999</v>
      </c>
      <c r="AB90" s="1">
        <v>0</v>
      </c>
      <c r="AC90" s="1">
        <v>0</v>
      </c>
      <c r="AD90" s="1">
        <v>0</v>
      </c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</row>
    <row r="91" spans="1:49" x14ac:dyDescent="0.2">
      <c r="A91" s="8">
        <v>15950</v>
      </c>
      <c r="B91" s="8" t="s">
        <v>55</v>
      </c>
      <c r="C91" s="8" t="s">
        <v>24</v>
      </c>
      <c r="D91" s="29" t="s">
        <v>2</v>
      </c>
      <c r="E91" s="19"/>
      <c r="F91" s="1">
        <v>5354</v>
      </c>
      <c r="G91" s="1">
        <v>5354</v>
      </c>
      <c r="H91" s="1">
        <v>0</v>
      </c>
      <c r="I91" s="226"/>
      <c r="J91" s="1">
        <v>49.180000000000007</v>
      </c>
      <c r="K91" s="1">
        <f t="shared" si="5"/>
        <v>49.180000000000007</v>
      </c>
      <c r="L91" s="1"/>
      <c r="M91" s="226"/>
      <c r="N91" s="1">
        <v>375</v>
      </c>
      <c r="O91" s="1">
        <v>375</v>
      </c>
      <c r="P91" s="1">
        <v>0</v>
      </c>
      <c r="Q91" s="226"/>
      <c r="R91" s="1">
        <v>0</v>
      </c>
      <c r="S91" s="1">
        <v>0</v>
      </c>
      <c r="T91" s="1">
        <v>0</v>
      </c>
      <c r="V91" s="4">
        <f t="shared" si="3"/>
        <v>5778.18</v>
      </c>
      <c r="W91" s="4">
        <f t="shared" si="3"/>
        <v>5778.18</v>
      </c>
      <c r="X91" s="4">
        <f t="shared" si="3"/>
        <v>0</v>
      </c>
      <c r="Z91" s="153">
        <f t="shared" si="4"/>
        <v>5403.18</v>
      </c>
      <c r="AB91" s="1">
        <v>0</v>
      </c>
      <c r="AC91" s="1">
        <v>0</v>
      </c>
      <c r="AD91" s="1">
        <v>0</v>
      </c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</row>
    <row r="92" spans="1:49" x14ac:dyDescent="0.2">
      <c r="A92" s="8">
        <v>15990</v>
      </c>
      <c r="B92" s="8" t="s">
        <v>141</v>
      </c>
      <c r="C92" s="8"/>
      <c r="D92" s="29" t="s">
        <v>2</v>
      </c>
      <c r="E92" s="19"/>
      <c r="F92" s="1">
        <v>20296.060000000001</v>
      </c>
      <c r="G92" s="1">
        <v>20296.060000000001</v>
      </c>
      <c r="H92" s="1">
        <v>0</v>
      </c>
      <c r="I92" s="226"/>
      <c r="J92" s="1">
        <v>2853.6800000000003</v>
      </c>
      <c r="K92" s="1">
        <f t="shared" si="5"/>
        <v>2853.6800000000003</v>
      </c>
      <c r="L92" s="1"/>
      <c r="M92" s="226"/>
      <c r="N92" s="1">
        <v>0.1</v>
      </c>
      <c r="O92" s="1">
        <v>0.1</v>
      </c>
      <c r="P92" s="1">
        <v>0</v>
      </c>
      <c r="Q92" s="226"/>
      <c r="R92" s="1">
        <v>27.64</v>
      </c>
      <c r="S92" s="1">
        <v>27.64</v>
      </c>
      <c r="T92" s="1">
        <v>0</v>
      </c>
      <c r="V92" s="4">
        <f t="shared" si="3"/>
        <v>23177.48</v>
      </c>
      <c r="W92" s="4">
        <f t="shared" si="3"/>
        <v>23177.48</v>
      </c>
      <c r="X92" s="4">
        <f t="shared" si="3"/>
        <v>0</v>
      </c>
      <c r="Z92" s="153">
        <f t="shared" si="4"/>
        <v>23149.74</v>
      </c>
      <c r="AB92" s="1">
        <v>0</v>
      </c>
      <c r="AC92" s="1">
        <v>0</v>
      </c>
      <c r="AD92" s="1">
        <v>0</v>
      </c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</row>
    <row r="93" spans="1:49" x14ac:dyDescent="0.2">
      <c r="A93" s="8">
        <v>16100</v>
      </c>
      <c r="B93" s="8" t="s">
        <v>142</v>
      </c>
      <c r="C93" s="8" t="s">
        <v>38</v>
      </c>
      <c r="D93" s="29" t="s">
        <v>1</v>
      </c>
      <c r="E93" s="19">
        <v>1</v>
      </c>
      <c r="F93" s="1">
        <v>0</v>
      </c>
      <c r="G93" s="1">
        <v>0</v>
      </c>
      <c r="H93" s="1">
        <v>0</v>
      </c>
      <c r="I93" s="226"/>
      <c r="J93" s="1">
        <v>17</v>
      </c>
      <c r="K93" s="1">
        <f t="shared" si="5"/>
        <v>17</v>
      </c>
      <c r="L93" s="1"/>
      <c r="M93" s="226"/>
      <c r="N93" s="1">
        <v>719.24</v>
      </c>
      <c r="O93" s="1">
        <v>719.24</v>
      </c>
      <c r="P93" s="1">
        <v>0</v>
      </c>
      <c r="Q93" s="226"/>
      <c r="R93" s="1">
        <v>15.14</v>
      </c>
      <c r="S93" s="1">
        <v>13.5</v>
      </c>
      <c r="T93" s="1">
        <v>1.64</v>
      </c>
      <c r="V93" s="4">
        <f t="shared" si="3"/>
        <v>751.38</v>
      </c>
      <c r="W93" s="4">
        <f t="shared" si="3"/>
        <v>749.74</v>
      </c>
      <c r="X93" s="4">
        <f t="shared" si="3"/>
        <v>1.64</v>
      </c>
      <c r="Z93" s="153">
        <f t="shared" si="4"/>
        <v>17</v>
      </c>
      <c r="AB93" s="1">
        <v>0</v>
      </c>
      <c r="AC93" s="1">
        <v>0</v>
      </c>
      <c r="AD93" s="1">
        <v>0</v>
      </c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</row>
    <row r="94" spans="1:49" x14ac:dyDescent="0.2">
      <c r="A94" s="8">
        <v>16150</v>
      </c>
      <c r="B94" s="8" t="s">
        <v>143</v>
      </c>
      <c r="C94" s="8" t="s">
        <v>38</v>
      </c>
      <c r="D94" s="29" t="s">
        <v>1</v>
      </c>
      <c r="E94" s="19"/>
      <c r="F94" s="1">
        <v>2815.3</v>
      </c>
      <c r="G94" s="1">
        <v>2815.0800000000004</v>
      </c>
      <c r="H94" s="1">
        <v>0.22</v>
      </c>
      <c r="I94" s="226"/>
      <c r="J94" s="1">
        <v>743.02</v>
      </c>
      <c r="K94" s="1">
        <f t="shared" si="5"/>
        <v>743.02</v>
      </c>
      <c r="L94" s="1"/>
      <c r="M94" s="226"/>
      <c r="N94" s="1">
        <v>1545.6699999999998</v>
      </c>
      <c r="O94" s="1">
        <v>1545.6699999999998</v>
      </c>
      <c r="P94" s="1">
        <v>0</v>
      </c>
      <c r="Q94" s="226"/>
      <c r="R94" s="1">
        <v>102.80999999999999</v>
      </c>
      <c r="S94" s="1">
        <v>102.80999999999999</v>
      </c>
      <c r="T94" s="1">
        <v>0</v>
      </c>
      <c r="V94" s="4">
        <f t="shared" si="3"/>
        <v>5206.8000000000011</v>
      </c>
      <c r="W94" s="4">
        <f t="shared" si="3"/>
        <v>5206.58</v>
      </c>
      <c r="X94" s="4">
        <f t="shared" si="3"/>
        <v>0.22</v>
      </c>
      <c r="Z94" s="153">
        <f t="shared" si="4"/>
        <v>3558.32</v>
      </c>
      <c r="AB94" s="1">
        <v>0</v>
      </c>
      <c r="AC94" s="1">
        <v>0</v>
      </c>
      <c r="AD94" s="1">
        <v>0</v>
      </c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</row>
    <row r="95" spans="1:49" x14ac:dyDescent="0.2">
      <c r="A95" s="8">
        <v>16200</v>
      </c>
      <c r="B95" s="8" t="s">
        <v>144</v>
      </c>
      <c r="C95" s="8" t="s">
        <v>38</v>
      </c>
      <c r="D95" s="29" t="s">
        <v>1</v>
      </c>
      <c r="E95" s="19"/>
      <c r="F95" s="1">
        <v>730</v>
      </c>
      <c r="G95" s="1">
        <v>730</v>
      </c>
      <c r="H95" s="1">
        <v>0</v>
      </c>
      <c r="I95" s="226"/>
      <c r="J95" s="1">
        <v>344.99</v>
      </c>
      <c r="K95" s="1">
        <f t="shared" si="5"/>
        <v>344.99</v>
      </c>
      <c r="L95" s="1"/>
      <c r="M95" s="226"/>
      <c r="N95" s="1">
        <v>2607.9</v>
      </c>
      <c r="O95" s="1">
        <v>2607.9</v>
      </c>
      <c r="P95" s="1">
        <v>0</v>
      </c>
      <c r="Q95" s="226"/>
      <c r="R95" s="1">
        <v>9.06</v>
      </c>
      <c r="S95" s="1">
        <v>5.0600000000000005</v>
      </c>
      <c r="T95" s="1">
        <v>4</v>
      </c>
      <c r="V95" s="4">
        <f t="shared" si="3"/>
        <v>3691.95</v>
      </c>
      <c r="W95" s="4">
        <f t="shared" si="3"/>
        <v>3687.95</v>
      </c>
      <c r="X95" s="4">
        <f t="shared" si="3"/>
        <v>4</v>
      </c>
      <c r="Z95" s="153">
        <f t="shared" si="4"/>
        <v>1074.99</v>
      </c>
      <c r="AB95" s="1">
        <v>281</v>
      </c>
      <c r="AC95" s="1">
        <v>281</v>
      </c>
      <c r="AD95" s="1">
        <v>0</v>
      </c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</row>
    <row r="96" spans="1:49" x14ac:dyDescent="0.2">
      <c r="A96" s="8">
        <v>16260</v>
      </c>
      <c r="B96" s="8" t="s">
        <v>56</v>
      </c>
      <c r="C96" s="8" t="s">
        <v>18</v>
      </c>
      <c r="D96" s="29" t="s">
        <v>2</v>
      </c>
      <c r="E96" s="19"/>
      <c r="F96" s="1">
        <v>11042.42</v>
      </c>
      <c r="G96" s="1">
        <v>9883.42</v>
      </c>
      <c r="H96" s="1">
        <v>1159</v>
      </c>
      <c r="I96" s="226"/>
      <c r="J96" s="1">
        <v>1139.46</v>
      </c>
      <c r="K96" s="1">
        <f t="shared" si="5"/>
        <v>1139.46</v>
      </c>
      <c r="L96" s="1"/>
      <c r="M96" s="226"/>
      <c r="N96" s="1">
        <v>0</v>
      </c>
      <c r="O96" s="1">
        <v>0</v>
      </c>
      <c r="P96" s="1">
        <v>0</v>
      </c>
      <c r="Q96" s="226"/>
      <c r="R96" s="1">
        <v>0</v>
      </c>
      <c r="S96" s="1">
        <v>0</v>
      </c>
      <c r="T96" s="1">
        <v>0</v>
      </c>
      <c r="V96" s="4">
        <f t="shared" si="3"/>
        <v>12181.880000000001</v>
      </c>
      <c r="W96" s="4">
        <f t="shared" si="3"/>
        <v>11022.880000000001</v>
      </c>
      <c r="X96" s="4">
        <f t="shared" si="3"/>
        <v>1159</v>
      </c>
      <c r="Z96" s="153">
        <f t="shared" si="4"/>
        <v>12181.880000000001</v>
      </c>
      <c r="AB96" s="1">
        <v>0</v>
      </c>
      <c r="AC96" s="1">
        <v>0</v>
      </c>
      <c r="AD96" s="1">
        <v>0</v>
      </c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</row>
    <row r="97" spans="1:49" x14ac:dyDescent="0.2">
      <c r="A97" s="8">
        <v>16350</v>
      </c>
      <c r="B97" s="8" t="s">
        <v>57</v>
      </c>
      <c r="C97" s="8" t="s">
        <v>182</v>
      </c>
      <c r="D97" s="29" t="s">
        <v>2</v>
      </c>
      <c r="E97" s="19"/>
      <c r="F97" s="1">
        <v>15364.99</v>
      </c>
      <c r="G97" s="1">
        <v>13728.11</v>
      </c>
      <c r="H97" s="1">
        <v>1636.88</v>
      </c>
      <c r="I97" s="226"/>
      <c r="J97" s="1">
        <v>3775.02</v>
      </c>
      <c r="K97" s="1">
        <f t="shared" si="5"/>
        <v>3775.02</v>
      </c>
      <c r="L97" s="1"/>
      <c r="M97" s="226"/>
      <c r="N97" s="1">
        <v>100.23</v>
      </c>
      <c r="O97" s="1">
        <v>87.81</v>
      </c>
      <c r="P97" s="1">
        <v>12.42</v>
      </c>
      <c r="Q97" s="226"/>
      <c r="R97" s="1">
        <v>426.38</v>
      </c>
      <c r="S97" s="1">
        <v>426.38</v>
      </c>
      <c r="T97" s="1">
        <v>0</v>
      </c>
      <c r="V97" s="4">
        <f t="shared" si="3"/>
        <v>19666.62</v>
      </c>
      <c r="W97" s="4">
        <f t="shared" si="3"/>
        <v>18017.32</v>
      </c>
      <c r="X97" s="4">
        <f t="shared" si="3"/>
        <v>1649.3000000000002</v>
      </c>
      <c r="Z97" s="153">
        <f t="shared" si="4"/>
        <v>19140.009999999998</v>
      </c>
      <c r="AB97" s="1">
        <v>144.11000000000001</v>
      </c>
      <c r="AC97" s="1">
        <v>0</v>
      </c>
      <c r="AD97" s="1">
        <v>144.11000000000001</v>
      </c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</row>
    <row r="98" spans="1:49" x14ac:dyDescent="0.2">
      <c r="A98" s="8">
        <v>16380</v>
      </c>
      <c r="B98" s="8" t="s">
        <v>145</v>
      </c>
      <c r="C98" s="8" t="s">
        <v>39</v>
      </c>
      <c r="D98" s="29" t="s">
        <v>3</v>
      </c>
      <c r="E98" s="19"/>
      <c r="F98" s="1">
        <v>6827.62</v>
      </c>
      <c r="G98" s="1">
        <v>5325.66</v>
      </c>
      <c r="H98" s="1">
        <v>1501.96</v>
      </c>
      <c r="I98" s="226"/>
      <c r="J98" s="1">
        <v>1974.91</v>
      </c>
      <c r="K98" s="1">
        <f t="shared" si="5"/>
        <v>1974.91</v>
      </c>
      <c r="L98" s="1"/>
      <c r="M98" s="226"/>
      <c r="N98" s="1">
        <v>939.48</v>
      </c>
      <c r="O98" s="1">
        <v>939.48</v>
      </c>
      <c r="P98" s="1">
        <v>0</v>
      </c>
      <c r="Q98" s="226"/>
      <c r="R98" s="1">
        <v>3.08</v>
      </c>
      <c r="S98" s="1">
        <v>3.08</v>
      </c>
      <c r="T98" s="1">
        <v>0</v>
      </c>
      <c r="V98" s="4">
        <f t="shared" si="3"/>
        <v>9745.09</v>
      </c>
      <c r="W98" s="4">
        <f t="shared" si="3"/>
        <v>8243.1299999999992</v>
      </c>
      <c r="X98" s="4">
        <f t="shared" si="3"/>
        <v>1501.96</v>
      </c>
      <c r="Z98" s="153">
        <f t="shared" si="4"/>
        <v>8802.5300000000007</v>
      </c>
      <c r="AB98" s="1">
        <v>18865.62</v>
      </c>
      <c r="AC98" s="1">
        <v>18673.25</v>
      </c>
      <c r="AD98" s="1">
        <v>192.37</v>
      </c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</row>
    <row r="99" spans="1:49" x14ac:dyDescent="0.2">
      <c r="A99" s="8">
        <v>16400</v>
      </c>
      <c r="B99" s="8" t="s">
        <v>58</v>
      </c>
      <c r="C99" s="8" t="s">
        <v>23</v>
      </c>
      <c r="D99" s="29" t="s">
        <v>2</v>
      </c>
      <c r="E99" s="19"/>
      <c r="F99" s="1">
        <v>5929</v>
      </c>
      <c r="G99" s="1">
        <v>5519</v>
      </c>
      <c r="H99" s="1">
        <v>410</v>
      </c>
      <c r="I99" s="226"/>
      <c r="J99" s="1">
        <v>1806.3400000000001</v>
      </c>
      <c r="K99" s="1">
        <f t="shared" si="5"/>
        <v>1806.3400000000001</v>
      </c>
      <c r="L99" s="1"/>
      <c r="M99" s="226"/>
      <c r="N99" s="1">
        <v>790.91000000000008</v>
      </c>
      <c r="O99" s="1">
        <v>790.91000000000008</v>
      </c>
      <c r="P99" s="1">
        <v>0</v>
      </c>
      <c r="Q99" s="226"/>
      <c r="R99" s="1">
        <v>201.1</v>
      </c>
      <c r="S99" s="1">
        <v>201.1</v>
      </c>
      <c r="T99" s="1">
        <v>0</v>
      </c>
      <c r="V99" s="4">
        <f t="shared" si="3"/>
        <v>8727.35</v>
      </c>
      <c r="W99" s="4">
        <f t="shared" si="3"/>
        <v>8317.35</v>
      </c>
      <c r="X99" s="4">
        <f t="shared" si="3"/>
        <v>410</v>
      </c>
      <c r="Z99" s="153">
        <f t="shared" si="4"/>
        <v>7735.34</v>
      </c>
      <c r="AB99" s="1">
        <v>0</v>
      </c>
      <c r="AC99" s="1">
        <v>0</v>
      </c>
      <c r="AD99" s="1">
        <v>0</v>
      </c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</row>
    <row r="100" spans="1:49" x14ac:dyDescent="0.2">
      <c r="A100" s="8">
        <v>16490</v>
      </c>
      <c r="B100" s="8" t="s">
        <v>146</v>
      </c>
      <c r="C100" s="8" t="s">
        <v>67</v>
      </c>
      <c r="D100" s="29" t="s">
        <v>1</v>
      </c>
      <c r="E100" s="19"/>
      <c r="F100" s="1">
        <v>3259.5</v>
      </c>
      <c r="G100" s="1">
        <v>2998.5</v>
      </c>
      <c r="H100" s="1">
        <v>261</v>
      </c>
      <c r="I100" s="226"/>
      <c r="J100" s="1">
        <v>1286.56</v>
      </c>
      <c r="K100" s="1">
        <f t="shared" si="5"/>
        <v>1286.56</v>
      </c>
      <c r="L100" s="1"/>
      <c r="M100" s="226"/>
      <c r="N100" s="1">
        <v>1466</v>
      </c>
      <c r="O100" s="1">
        <v>1438.5</v>
      </c>
      <c r="P100" s="1">
        <v>27.5</v>
      </c>
      <c r="Q100" s="226"/>
      <c r="R100" s="1">
        <v>45</v>
      </c>
      <c r="S100" s="1">
        <v>45</v>
      </c>
      <c r="T100" s="1">
        <v>0</v>
      </c>
      <c r="V100" s="4">
        <f t="shared" si="3"/>
        <v>6057.0599999999995</v>
      </c>
      <c r="W100" s="4">
        <f t="shared" si="3"/>
        <v>5768.5599999999995</v>
      </c>
      <c r="X100" s="4">
        <f t="shared" si="3"/>
        <v>288.5</v>
      </c>
      <c r="Z100" s="153">
        <f t="shared" si="4"/>
        <v>4546.0599999999995</v>
      </c>
      <c r="AB100" s="1">
        <v>0</v>
      </c>
      <c r="AC100" s="1">
        <v>0</v>
      </c>
      <c r="AD100" s="1">
        <v>0</v>
      </c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</row>
    <row r="101" spans="1:49" x14ac:dyDescent="0.2">
      <c r="A101" s="8">
        <v>16550</v>
      </c>
      <c r="B101" s="8" t="s">
        <v>59</v>
      </c>
      <c r="C101" s="8" t="s">
        <v>17</v>
      </c>
      <c r="D101" s="29" t="s">
        <v>2</v>
      </c>
      <c r="E101" s="19"/>
      <c r="F101" s="1">
        <v>9301.35</v>
      </c>
      <c r="G101" s="1">
        <v>7757.35</v>
      </c>
      <c r="H101" s="1">
        <v>1544</v>
      </c>
      <c r="I101" s="226"/>
      <c r="J101" s="1">
        <v>1414.25</v>
      </c>
      <c r="K101" s="1">
        <f t="shared" si="5"/>
        <v>1414.25</v>
      </c>
      <c r="L101" s="1"/>
      <c r="M101" s="226"/>
      <c r="N101" s="1">
        <v>413.4</v>
      </c>
      <c r="O101" s="1">
        <v>413.4</v>
      </c>
      <c r="P101" s="1">
        <v>0</v>
      </c>
      <c r="Q101" s="226"/>
      <c r="R101" s="1">
        <v>367.78</v>
      </c>
      <c r="S101" s="1">
        <v>367.78</v>
      </c>
      <c r="T101" s="1">
        <v>0</v>
      </c>
      <c r="V101" s="4">
        <f t="shared" si="3"/>
        <v>11496.78</v>
      </c>
      <c r="W101" s="4">
        <f t="shared" si="3"/>
        <v>9952.7800000000007</v>
      </c>
      <c r="X101" s="4">
        <f t="shared" si="3"/>
        <v>1544</v>
      </c>
      <c r="Z101" s="153">
        <f t="shared" si="4"/>
        <v>10715.6</v>
      </c>
      <c r="AB101" s="1">
        <v>0</v>
      </c>
      <c r="AC101" s="1">
        <v>0</v>
      </c>
      <c r="AD101" s="1">
        <v>0</v>
      </c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</row>
    <row r="102" spans="1:49" x14ac:dyDescent="0.2">
      <c r="A102" s="8">
        <v>16610</v>
      </c>
      <c r="B102" s="8" t="s">
        <v>147</v>
      </c>
      <c r="C102" s="8" t="s">
        <v>19</v>
      </c>
      <c r="D102" s="29" t="s">
        <v>3</v>
      </c>
      <c r="E102" s="19"/>
      <c r="F102" s="1">
        <v>1354.31</v>
      </c>
      <c r="G102" s="1">
        <v>1130.05</v>
      </c>
      <c r="H102" s="1">
        <v>224.26</v>
      </c>
      <c r="I102" s="226"/>
      <c r="J102" s="1">
        <v>1081.77</v>
      </c>
      <c r="K102" s="1">
        <f t="shared" si="5"/>
        <v>1081.77</v>
      </c>
      <c r="L102" s="1"/>
      <c r="M102" s="226"/>
      <c r="N102" s="1">
        <v>1304</v>
      </c>
      <c r="O102" s="1">
        <v>1304</v>
      </c>
      <c r="P102" s="1">
        <v>0</v>
      </c>
      <c r="Q102" s="226"/>
      <c r="R102" s="1">
        <v>0</v>
      </c>
      <c r="S102" s="1">
        <v>0</v>
      </c>
      <c r="T102" s="1">
        <v>0</v>
      </c>
      <c r="V102" s="4">
        <f t="shared" si="3"/>
        <v>3740.08</v>
      </c>
      <c r="W102" s="4">
        <f t="shared" si="3"/>
        <v>3515.82</v>
      </c>
      <c r="X102" s="4">
        <f t="shared" si="3"/>
        <v>224.26</v>
      </c>
      <c r="Z102" s="153">
        <f t="shared" si="4"/>
        <v>2436.08</v>
      </c>
      <c r="AB102" s="1">
        <v>1369</v>
      </c>
      <c r="AC102" s="1">
        <v>1369</v>
      </c>
      <c r="AD102" s="1">
        <v>0</v>
      </c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</row>
    <row r="103" spans="1:49" x14ac:dyDescent="0.2">
      <c r="A103" s="8">
        <v>16700</v>
      </c>
      <c r="B103" s="8" t="s">
        <v>60</v>
      </c>
      <c r="C103" s="8" t="s">
        <v>24</v>
      </c>
      <c r="D103" s="29" t="s">
        <v>2</v>
      </c>
      <c r="E103" s="19"/>
      <c r="F103" s="1">
        <v>7000.85</v>
      </c>
      <c r="G103" s="1">
        <v>6255.4000000000005</v>
      </c>
      <c r="H103" s="1">
        <v>745.45</v>
      </c>
      <c r="I103" s="226"/>
      <c r="J103" s="1">
        <v>1029.7199999999998</v>
      </c>
      <c r="K103" s="1">
        <f t="shared" si="5"/>
        <v>1029.7199999999998</v>
      </c>
      <c r="L103" s="1"/>
      <c r="M103" s="226"/>
      <c r="N103" s="1">
        <v>0</v>
      </c>
      <c r="O103" s="1">
        <v>0</v>
      </c>
      <c r="P103" s="1">
        <v>0</v>
      </c>
      <c r="Q103" s="226"/>
      <c r="R103" s="1">
        <v>462</v>
      </c>
      <c r="S103" s="1">
        <v>358</v>
      </c>
      <c r="T103" s="1">
        <v>104</v>
      </c>
      <c r="V103" s="4">
        <f t="shared" si="3"/>
        <v>8492.57</v>
      </c>
      <c r="W103" s="4">
        <f t="shared" si="3"/>
        <v>7643.1200000000008</v>
      </c>
      <c r="X103" s="4">
        <f t="shared" si="3"/>
        <v>849.45</v>
      </c>
      <c r="Z103" s="153">
        <f t="shared" si="4"/>
        <v>8030.57</v>
      </c>
      <c r="AB103" s="1">
        <v>0</v>
      </c>
      <c r="AC103" s="1">
        <v>0</v>
      </c>
      <c r="AD103" s="1">
        <v>0</v>
      </c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</row>
    <row r="104" spans="1:49" x14ac:dyDescent="0.2">
      <c r="A104" s="8">
        <v>16900</v>
      </c>
      <c r="B104" s="8" t="s">
        <v>148</v>
      </c>
      <c r="C104" s="8" t="s">
        <v>37</v>
      </c>
      <c r="D104" s="29" t="s">
        <v>2</v>
      </c>
      <c r="E104" s="19"/>
      <c r="F104" s="1">
        <v>5530</v>
      </c>
      <c r="G104" s="1">
        <v>4940</v>
      </c>
      <c r="H104" s="1">
        <v>590</v>
      </c>
      <c r="I104" s="226"/>
      <c r="J104" s="1">
        <v>1388.9299999999998</v>
      </c>
      <c r="K104" s="1">
        <f t="shared" si="5"/>
        <v>1388.9299999999998</v>
      </c>
      <c r="L104" s="1"/>
      <c r="M104" s="226"/>
      <c r="N104" s="1">
        <v>1858</v>
      </c>
      <c r="O104" s="1">
        <v>1858</v>
      </c>
      <c r="P104" s="1">
        <v>0</v>
      </c>
      <c r="Q104" s="226"/>
      <c r="R104" s="1">
        <v>10</v>
      </c>
      <c r="S104" s="1">
        <v>10</v>
      </c>
      <c r="T104" s="1">
        <v>0</v>
      </c>
      <c r="V104" s="4">
        <f t="shared" si="3"/>
        <v>8786.93</v>
      </c>
      <c r="W104" s="4">
        <f t="shared" si="3"/>
        <v>8196.93</v>
      </c>
      <c r="X104" s="4">
        <f t="shared" si="3"/>
        <v>590</v>
      </c>
      <c r="Z104" s="153">
        <f t="shared" si="4"/>
        <v>6918.93</v>
      </c>
      <c r="AB104" s="1">
        <v>6</v>
      </c>
      <c r="AC104" s="1">
        <v>6</v>
      </c>
      <c r="AD104" s="1">
        <v>0</v>
      </c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</row>
    <row r="105" spans="1:49" x14ac:dyDescent="0.2">
      <c r="A105" s="8">
        <v>16950</v>
      </c>
      <c r="B105" s="8" t="s">
        <v>149</v>
      </c>
      <c r="C105" s="8" t="s">
        <v>37</v>
      </c>
      <c r="D105" s="29" t="s">
        <v>2</v>
      </c>
      <c r="E105" s="19"/>
      <c r="F105" s="1">
        <v>9578</v>
      </c>
      <c r="G105" s="1">
        <v>7193</v>
      </c>
      <c r="H105" s="1">
        <v>2385</v>
      </c>
      <c r="I105" s="226"/>
      <c r="J105" s="1">
        <v>2656.81</v>
      </c>
      <c r="K105" s="1">
        <f t="shared" si="5"/>
        <v>2656.81</v>
      </c>
      <c r="L105" s="1"/>
      <c r="M105" s="226"/>
      <c r="N105" s="1">
        <v>5324.3</v>
      </c>
      <c r="O105" s="1">
        <v>5324.3</v>
      </c>
      <c r="P105" s="1">
        <v>0</v>
      </c>
      <c r="Q105" s="226"/>
      <c r="R105" s="1">
        <v>643.6</v>
      </c>
      <c r="S105" s="1">
        <v>643.6</v>
      </c>
      <c r="T105" s="1">
        <v>0</v>
      </c>
      <c r="V105" s="4">
        <f t="shared" si="3"/>
        <v>18202.71</v>
      </c>
      <c r="W105" s="4">
        <f t="shared" si="3"/>
        <v>15817.71</v>
      </c>
      <c r="X105" s="4">
        <f t="shared" si="3"/>
        <v>2385</v>
      </c>
      <c r="Z105" s="153">
        <f t="shared" si="4"/>
        <v>12234.81</v>
      </c>
      <c r="AB105" s="1">
        <v>0</v>
      </c>
      <c r="AC105" s="1">
        <v>0</v>
      </c>
      <c r="AD105" s="1">
        <v>0</v>
      </c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</row>
    <row r="106" spans="1:49" x14ac:dyDescent="0.2">
      <c r="A106" s="8">
        <v>17000</v>
      </c>
      <c r="B106" s="8" t="s">
        <v>150</v>
      </c>
      <c r="C106" s="8" t="s">
        <v>23</v>
      </c>
      <c r="D106" s="29" t="s">
        <v>3</v>
      </c>
      <c r="E106" s="19"/>
      <c r="F106" s="1">
        <v>1429.1</v>
      </c>
      <c r="G106" s="1">
        <v>1339.6899999999998</v>
      </c>
      <c r="H106" s="1">
        <v>89.41</v>
      </c>
      <c r="I106" s="226"/>
      <c r="J106" s="1">
        <v>530.66999999999996</v>
      </c>
      <c r="K106" s="1">
        <f t="shared" si="5"/>
        <v>530.66999999999996</v>
      </c>
      <c r="L106" s="1"/>
      <c r="M106" s="226"/>
      <c r="N106" s="1">
        <v>1023.95</v>
      </c>
      <c r="O106" s="1">
        <v>1023.95</v>
      </c>
      <c r="P106" s="1">
        <v>0</v>
      </c>
      <c r="Q106" s="226"/>
      <c r="R106" s="1">
        <v>170.3</v>
      </c>
      <c r="S106" s="1">
        <v>170.3</v>
      </c>
      <c r="T106" s="1">
        <v>0</v>
      </c>
      <c r="V106" s="4">
        <f t="shared" si="3"/>
        <v>3154.0200000000004</v>
      </c>
      <c r="W106" s="4">
        <f t="shared" si="3"/>
        <v>3064.61</v>
      </c>
      <c r="X106" s="4">
        <f t="shared" si="3"/>
        <v>89.41</v>
      </c>
      <c r="Z106" s="153">
        <f t="shared" si="4"/>
        <v>1959.77</v>
      </c>
      <c r="AB106" s="1">
        <v>0</v>
      </c>
      <c r="AC106" s="1">
        <v>0</v>
      </c>
      <c r="AD106" s="1">
        <v>0</v>
      </c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</row>
    <row r="107" spans="1:49" x14ac:dyDescent="0.2">
      <c r="A107" s="8">
        <v>17040</v>
      </c>
      <c r="B107" s="8" t="s">
        <v>151</v>
      </c>
      <c r="C107" s="8" t="s">
        <v>67</v>
      </c>
      <c r="D107" s="29" t="s">
        <v>1</v>
      </c>
      <c r="E107" s="19"/>
      <c r="F107" s="1">
        <v>1306.78</v>
      </c>
      <c r="G107" s="1">
        <v>1306.78</v>
      </c>
      <c r="H107" s="1">
        <v>0</v>
      </c>
      <c r="I107" s="226"/>
      <c r="J107" s="1">
        <v>454.01</v>
      </c>
      <c r="K107" s="1">
        <f t="shared" si="5"/>
        <v>454.01</v>
      </c>
      <c r="L107" s="1"/>
      <c r="M107" s="226"/>
      <c r="N107" s="1">
        <v>1701.87</v>
      </c>
      <c r="O107" s="1">
        <v>1701.87</v>
      </c>
      <c r="P107" s="1">
        <v>0</v>
      </c>
      <c r="Q107" s="226"/>
      <c r="R107" s="1">
        <v>0</v>
      </c>
      <c r="S107" s="1">
        <v>0</v>
      </c>
      <c r="T107" s="1">
        <v>0</v>
      </c>
      <c r="V107" s="4">
        <f t="shared" si="3"/>
        <v>3462.66</v>
      </c>
      <c r="W107" s="4">
        <f t="shared" si="3"/>
        <v>3462.66</v>
      </c>
      <c r="X107" s="4">
        <f t="shared" si="3"/>
        <v>0</v>
      </c>
      <c r="Z107" s="153">
        <f t="shared" si="4"/>
        <v>1760.79</v>
      </c>
      <c r="AB107" s="1">
        <v>0</v>
      </c>
      <c r="AC107" s="1">
        <v>0</v>
      </c>
      <c r="AD107" s="1">
        <v>0</v>
      </c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</row>
    <row r="108" spans="1:49" x14ac:dyDescent="0.2">
      <c r="A108" s="8">
        <v>17080</v>
      </c>
      <c r="B108" s="8" t="s">
        <v>152</v>
      </c>
      <c r="C108" s="8" t="s">
        <v>67</v>
      </c>
      <c r="D108" s="29" t="s">
        <v>1</v>
      </c>
      <c r="E108" s="19"/>
      <c r="F108" s="1">
        <v>1450</v>
      </c>
      <c r="G108" s="1">
        <v>1230</v>
      </c>
      <c r="H108" s="1">
        <v>220</v>
      </c>
      <c r="I108" s="226"/>
      <c r="J108" s="1">
        <v>445.15</v>
      </c>
      <c r="K108" s="1">
        <f t="shared" si="5"/>
        <v>445.15</v>
      </c>
      <c r="L108" s="1"/>
      <c r="M108" s="226"/>
      <c r="N108" s="1">
        <v>909</v>
      </c>
      <c r="O108" s="1">
        <v>909</v>
      </c>
      <c r="P108" s="1">
        <v>0</v>
      </c>
      <c r="Q108" s="226"/>
      <c r="R108" s="1">
        <v>0</v>
      </c>
      <c r="S108" s="1">
        <v>0</v>
      </c>
      <c r="T108" s="1">
        <v>0</v>
      </c>
      <c r="V108" s="4">
        <f t="shared" si="3"/>
        <v>2804.15</v>
      </c>
      <c r="W108" s="4">
        <f t="shared" si="3"/>
        <v>2584.15</v>
      </c>
      <c r="X108" s="4">
        <f t="shared" si="3"/>
        <v>220</v>
      </c>
      <c r="Z108" s="153">
        <f t="shared" si="4"/>
        <v>1895.15</v>
      </c>
      <c r="AB108" s="1">
        <v>0</v>
      </c>
      <c r="AC108" s="1">
        <v>0</v>
      </c>
      <c r="AD108" s="1">
        <v>0</v>
      </c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</row>
    <row r="109" spans="1:49" x14ac:dyDescent="0.2">
      <c r="A109" s="8">
        <v>17100</v>
      </c>
      <c r="B109" s="8" t="s">
        <v>153</v>
      </c>
      <c r="C109" s="8"/>
      <c r="D109" s="29" t="s">
        <v>2</v>
      </c>
      <c r="E109" s="19"/>
      <c r="F109" s="1">
        <v>2255.15</v>
      </c>
      <c r="G109" s="1">
        <v>1539.15</v>
      </c>
      <c r="H109" s="1">
        <v>716</v>
      </c>
      <c r="I109" s="226"/>
      <c r="J109" s="1">
        <v>631.41</v>
      </c>
      <c r="K109" s="1">
        <f t="shared" si="5"/>
        <v>631.41</v>
      </c>
      <c r="L109" s="1"/>
      <c r="M109" s="226"/>
      <c r="N109" s="1">
        <v>2.5099999999999998</v>
      </c>
      <c r="O109" s="1">
        <v>2.5099999999999998</v>
      </c>
      <c r="P109" s="1">
        <v>0</v>
      </c>
      <c r="Q109" s="226"/>
      <c r="R109" s="1">
        <v>120</v>
      </c>
      <c r="S109" s="1">
        <v>120</v>
      </c>
      <c r="T109" s="1">
        <v>0</v>
      </c>
      <c r="V109" s="4">
        <f t="shared" si="3"/>
        <v>3009.07</v>
      </c>
      <c r="W109" s="4">
        <f t="shared" si="3"/>
        <v>2293.0700000000002</v>
      </c>
      <c r="X109" s="4">
        <f t="shared" si="3"/>
        <v>716</v>
      </c>
      <c r="Z109" s="153">
        <f t="shared" si="4"/>
        <v>2886.56</v>
      </c>
      <c r="AB109" s="1">
        <v>0</v>
      </c>
      <c r="AC109" s="1">
        <v>0</v>
      </c>
      <c r="AD109" s="1">
        <v>0</v>
      </c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</row>
    <row r="110" spans="1:49" x14ac:dyDescent="0.2">
      <c r="A110" s="8">
        <v>17150</v>
      </c>
      <c r="B110" s="8" t="s">
        <v>154</v>
      </c>
      <c r="C110" s="8" t="s">
        <v>17</v>
      </c>
      <c r="D110" s="29" t="s">
        <v>2</v>
      </c>
      <c r="E110" s="19"/>
      <c r="F110" s="1">
        <v>17888</v>
      </c>
      <c r="G110" s="1">
        <v>16100</v>
      </c>
      <c r="H110" s="1">
        <v>1788</v>
      </c>
      <c r="I110" s="226"/>
      <c r="J110" s="1">
        <v>2994.6400000000003</v>
      </c>
      <c r="K110" s="1">
        <f t="shared" si="5"/>
        <v>2994.6400000000003</v>
      </c>
      <c r="L110" s="1"/>
      <c r="M110" s="226"/>
      <c r="N110" s="1">
        <v>426</v>
      </c>
      <c r="O110" s="1">
        <v>426</v>
      </c>
      <c r="P110" s="1">
        <v>0</v>
      </c>
      <c r="Q110" s="226"/>
      <c r="R110" s="1">
        <v>1663</v>
      </c>
      <c r="S110" s="1">
        <v>1550</v>
      </c>
      <c r="T110" s="1">
        <v>113</v>
      </c>
      <c r="V110" s="4">
        <f t="shared" si="3"/>
        <v>22971.64</v>
      </c>
      <c r="W110" s="4">
        <f t="shared" si="3"/>
        <v>21070.639999999999</v>
      </c>
      <c r="X110" s="4">
        <f t="shared" si="3"/>
        <v>1901</v>
      </c>
      <c r="Z110" s="153">
        <f t="shared" si="4"/>
        <v>20882.64</v>
      </c>
      <c r="AB110" s="1">
        <v>0</v>
      </c>
      <c r="AC110" s="1">
        <v>0</v>
      </c>
      <c r="AD110" s="1">
        <v>0</v>
      </c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</row>
    <row r="111" spans="1:49" x14ac:dyDescent="0.2">
      <c r="A111" s="8">
        <v>17200</v>
      </c>
      <c r="B111" s="8" t="s">
        <v>61</v>
      </c>
      <c r="C111" s="8" t="s">
        <v>17</v>
      </c>
      <c r="D111" s="29" t="s">
        <v>2</v>
      </c>
      <c r="E111" s="19"/>
      <c r="F111" s="1">
        <v>13194</v>
      </c>
      <c r="G111" s="1">
        <v>12093</v>
      </c>
      <c r="H111" s="1">
        <v>1101</v>
      </c>
      <c r="I111" s="226"/>
      <c r="J111" s="1">
        <v>873.15000000000009</v>
      </c>
      <c r="K111" s="1">
        <f t="shared" si="5"/>
        <v>873.15000000000009</v>
      </c>
      <c r="L111" s="1"/>
      <c r="M111" s="226"/>
      <c r="N111" s="1">
        <v>75.460000000000008</v>
      </c>
      <c r="O111" s="1">
        <v>75.460000000000008</v>
      </c>
      <c r="P111" s="1">
        <v>0</v>
      </c>
      <c r="Q111" s="226"/>
      <c r="R111" s="1">
        <v>966</v>
      </c>
      <c r="S111" s="1">
        <v>839</v>
      </c>
      <c r="T111" s="1">
        <v>127</v>
      </c>
      <c r="V111" s="4">
        <f t="shared" si="3"/>
        <v>15108.609999999999</v>
      </c>
      <c r="W111" s="4">
        <f t="shared" si="3"/>
        <v>13880.609999999999</v>
      </c>
      <c r="X111" s="4">
        <f t="shared" si="3"/>
        <v>1228</v>
      </c>
      <c r="Z111" s="153">
        <f t="shared" si="4"/>
        <v>14067.15</v>
      </c>
      <c r="AB111" s="1">
        <v>0</v>
      </c>
      <c r="AC111" s="1">
        <v>0</v>
      </c>
      <c r="AD111" s="1">
        <v>0</v>
      </c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</row>
    <row r="112" spans="1:49" x14ac:dyDescent="0.2">
      <c r="A112" s="8">
        <v>17310</v>
      </c>
      <c r="B112" s="8" t="s">
        <v>155</v>
      </c>
      <c r="C112" s="8" t="s">
        <v>16</v>
      </c>
      <c r="D112" s="29" t="s">
        <v>1</v>
      </c>
      <c r="E112" s="19"/>
      <c r="F112" s="1">
        <v>3453.8</v>
      </c>
      <c r="G112" s="1">
        <v>3442.5</v>
      </c>
      <c r="H112" s="1">
        <v>11.3</v>
      </c>
      <c r="I112" s="226"/>
      <c r="J112" s="1">
        <v>1530.72</v>
      </c>
      <c r="K112" s="1">
        <f t="shared" si="5"/>
        <v>1530.72</v>
      </c>
      <c r="L112" s="1"/>
      <c r="M112" s="226"/>
      <c r="N112" s="1">
        <v>1697.13</v>
      </c>
      <c r="O112" s="1">
        <v>1697.13</v>
      </c>
      <c r="P112" s="1">
        <v>0</v>
      </c>
      <c r="Q112" s="226"/>
      <c r="R112" s="1">
        <v>0</v>
      </c>
      <c r="S112" s="1">
        <v>0</v>
      </c>
      <c r="T112" s="1">
        <v>0</v>
      </c>
      <c r="V112" s="4">
        <f t="shared" si="3"/>
        <v>6681.6500000000005</v>
      </c>
      <c r="W112" s="4">
        <f t="shared" si="3"/>
        <v>6670.35</v>
      </c>
      <c r="X112" s="4">
        <f t="shared" si="3"/>
        <v>11.3</v>
      </c>
      <c r="Z112" s="153">
        <f t="shared" si="4"/>
        <v>4984.5200000000004</v>
      </c>
      <c r="AB112" s="1">
        <v>0</v>
      </c>
      <c r="AC112" s="1">
        <v>0</v>
      </c>
      <c r="AD112" s="1">
        <v>0</v>
      </c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</row>
    <row r="113" spans="1:49" x14ac:dyDescent="0.2">
      <c r="A113" s="8">
        <v>17350</v>
      </c>
      <c r="B113" s="8" t="s">
        <v>156</v>
      </c>
      <c r="C113" s="8" t="s">
        <v>21</v>
      </c>
      <c r="D113" s="29" t="s">
        <v>1</v>
      </c>
      <c r="E113" s="19">
        <v>1</v>
      </c>
      <c r="F113" s="1">
        <v>0</v>
      </c>
      <c r="G113" s="1">
        <v>0</v>
      </c>
      <c r="H113" s="1">
        <v>0</v>
      </c>
      <c r="I113" s="226"/>
      <c r="J113" s="1">
        <v>200.64</v>
      </c>
      <c r="K113" s="1">
        <f t="shared" si="5"/>
        <v>200.64</v>
      </c>
      <c r="L113" s="1"/>
      <c r="M113" s="226"/>
      <c r="N113" s="1">
        <v>0</v>
      </c>
      <c r="O113" s="1">
        <v>0</v>
      </c>
      <c r="P113" s="1">
        <v>0</v>
      </c>
      <c r="Q113" s="226"/>
      <c r="R113" s="1">
        <v>0</v>
      </c>
      <c r="S113" s="1">
        <v>0</v>
      </c>
      <c r="T113" s="1">
        <v>0</v>
      </c>
      <c r="V113" s="4">
        <f t="shared" si="3"/>
        <v>200.64</v>
      </c>
      <c r="W113" s="4">
        <f t="shared" si="3"/>
        <v>200.64</v>
      </c>
      <c r="X113" s="4">
        <f t="shared" si="3"/>
        <v>0</v>
      </c>
      <c r="Z113" s="153">
        <f t="shared" si="4"/>
        <v>200.64</v>
      </c>
      <c r="AB113" s="1">
        <v>0</v>
      </c>
      <c r="AC113" s="1">
        <v>0</v>
      </c>
      <c r="AD113" s="1">
        <v>0</v>
      </c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</row>
    <row r="114" spans="1:49" x14ac:dyDescent="0.2">
      <c r="A114" s="8">
        <v>17400</v>
      </c>
      <c r="B114" s="8" t="s">
        <v>157</v>
      </c>
      <c r="C114" s="8" t="s">
        <v>16</v>
      </c>
      <c r="D114" s="29" t="s">
        <v>1</v>
      </c>
      <c r="E114" s="19"/>
      <c r="F114" s="1">
        <v>403.8</v>
      </c>
      <c r="G114" s="1">
        <v>402.8</v>
      </c>
      <c r="H114" s="1">
        <v>1</v>
      </c>
      <c r="I114" s="226"/>
      <c r="J114" s="1">
        <v>168.36</v>
      </c>
      <c r="K114" s="1">
        <f t="shared" si="5"/>
        <v>168.36</v>
      </c>
      <c r="L114" s="1"/>
      <c r="M114" s="226"/>
      <c r="N114" s="1">
        <v>453.06000000000006</v>
      </c>
      <c r="O114" s="1">
        <v>453.06000000000006</v>
      </c>
      <c r="P114" s="1">
        <v>0</v>
      </c>
      <c r="Q114" s="226"/>
      <c r="R114" s="1">
        <v>0</v>
      </c>
      <c r="S114" s="1">
        <v>0</v>
      </c>
      <c r="T114" s="1">
        <v>0</v>
      </c>
      <c r="V114" s="4">
        <f t="shared" si="3"/>
        <v>1025.2200000000003</v>
      </c>
      <c r="W114" s="4">
        <f t="shared" si="3"/>
        <v>1024.2200000000003</v>
      </c>
      <c r="X114" s="4">
        <f t="shared" si="3"/>
        <v>1</v>
      </c>
      <c r="Z114" s="153">
        <f t="shared" si="4"/>
        <v>572.16000000000008</v>
      </c>
      <c r="AB114" s="1">
        <v>0</v>
      </c>
      <c r="AC114" s="1">
        <v>0</v>
      </c>
      <c r="AD114" s="1">
        <v>0</v>
      </c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</row>
    <row r="115" spans="1:49" x14ac:dyDescent="0.2">
      <c r="A115" s="8">
        <v>17420</v>
      </c>
      <c r="B115" s="8" t="s">
        <v>158</v>
      </c>
      <c r="C115" s="8" t="s">
        <v>18</v>
      </c>
      <c r="D115" s="29" t="s">
        <v>2</v>
      </c>
      <c r="E115" s="19"/>
      <c r="F115" s="1">
        <v>11863.67</v>
      </c>
      <c r="G115" s="1">
        <v>10582.39</v>
      </c>
      <c r="H115" s="1">
        <v>1281.28</v>
      </c>
      <c r="I115" s="226"/>
      <c r="J115" s="1">
        <v>1844.97</v>
      </c>
      <c r="K115" s="1">
        <f t="shared" si="5"/>
        <v>1844.97</v>
      </c>
      <c r="L115" s="1"/>
      <c r="M115" s="226"/>
      <c r="N115" s="1">
        <v>0</v>
      </c>
      <c r="O115" s="1">
        <v>0</v>
      </c>
      <c r="P115" s="1">
        <v>0</v>
      </c>
      <c r="Q115" s="226"/>
      <c r="R115" s="1">
        <v>1005.66</v>
      </c>
      <c r="S115" s="1">
        <v>698.89</v>
      </c>
      <c r="T115" s="1">
        <v>306.77</v>
      </c>
      <c r="V115" s="4">
        <f t="shared" si="3"/>
        <v>14714.3</v>
      </c>
      <c r="W115" s="4">
        <f t="shared" si="3"/>
        <v>13126.249999999998</v>
      </c>
      <c r="X115" s="4">
        <f t="shared" si="3"/>
        <v>1588.05</v>
      </c>
      <c r="Z115" s="153">
        <f t="shared" si="4"/>
        <v>13708.64</v>
      </c>
      <c r="AB115" s="1">
        <v>0</v>
      </c>
      <c r="AC115" s="1">
        <v>0</v>
      </c>
      <c r="AD115" s="1">
        <v>0</v>
      </c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</row>
    <row r="116" spans="1:49" x14ac:dyDescent="0.2">
      <c r="A116" s="8">
        <v>17550</v>
      </c>
      <c r="B116" s="8" t="s">
        <v>159</v>
      </c>
      <c r="C116" s="8" t="s">
        <v>19</v>
      </c>
      <c r="D116" s="29" t="s">
        <v>3</v>
      </c>
      <c r="E116" s="19"/>
      <c r="F116" s="1">
        <v>8950</v>
      </c>
      <c r="G116" s="1">
        <v>7787</v>
      </c>
      <c r="H116" s="1">
        <v>1163</v>
      </c>
      <c r="I116" s="226"/>
      <c r="J116" s="1">
        <v>2420.42</v>
      </c>
      <c r="K116" s="1">
        <f t="shared" si="5"/>
        <v>2420.42</v>
      </c>
      <c r="L116" s="1"/>
      <c r="M116" s="226"/>
      <c r="N116" s="1">
        <v>1290.558</v>
      </c>
      <c r="O116" s="1">
        <v>1272.558</v>
      </c>
      <c r="P116" s="1">
        <v>18</v>
      </c>
      <c r="Q116" s="226"/>
      <c r="R116" s="1">
        <v>0</v>
      </c>
      <c r="S116" s="1">
        <v>0</v>
      </c>
      <c r="T116" s="1">
        <v>0</v>
      </c>
      <c r="V116" s="4">
        <f t="shared" si="3"/>
        <v>12660.978000000001</v>
      </c>
      <c r="W116" s="4">
        <f t="shared" si="3"/>
        <v>11479.978000000001</v>
      </c>
      <c r="X116" s="4">
        <f t="shared" si="3"/>
        <v>1181</v>
      </c>
      <c r="Z116" s="153">
        <f t="shared" si="4"/>
        <v>11370.42</v>
      </c>
      <c r="AB116" s="1">
        <v>0</v>
      </c>
      <c r="AC116" s="1">
        <v>0</v>
      </c>
      <c r="AD116" s="1">
        <v>0</v>
      </c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</row>
    <row r="117" spans="1:49" x14ac:dyDescent="0.2">
      <c r="A117" s="8">
        <v>17620</v>
      </c>
      <c r="B117" s="8" t="s">
        <v>160</v>
      </c>
      <c r="C117" s="8" t="s">
        <v>23</v>
      </c>
      <c r="D117" s="29" t="s">
        <v>3</v>
      </c>
      <c r="E117" s="19"/>
      <c r="F117" s="1">
        <v>821</v>
      </c>
      <c r="G117" s="1">
        <v>733</v>
      </c>
      <c r="H117" s="1">
        <v>88</v>
      </c>
      <c r="I117" s="226"/>
      <c r="J117" s="1">
        <v>261.73</v>
      </c>
      <c r="K117" s="1">
        <f t="shared" si="5"/>
        <v>261.73</v>
      </c>
      <c r="L117" s="1"/>
      <c r="M117" s="226"/>
      <c r="N117" s="1">
        <v>0</v>
      </c>
      <c r="O117" s="1">
        <v>0</v>
      </c>
      <c r="P117" s="1">
        <v>0</v>
      </c>
      <c r="Q117" s="226"/>
      <c r="R117" s="1">
        <v>0</v>
      </c>
      <c r="S117" s="1">
        <v>0</v>
      </c>
      <c r="T117" s="1">
        <v>0</v>
      </c>
      <c r="V117" s="4">
        <f t="shared" si="3"/>
        <v>1082.73</v>
      </c>
      <c r="W117" s="4">
        <f t="shared" si="3"/>
        <v>994.73</v>
      </c>
      <c r="X117" s="4">
        <f t="shared" si="3"/>
        <v>88</v>
      </c>
      <c r="Z117" s="153">
        <f t="shared" si="4"/>
        <v>1082.73</v>
      </c>
      <c r="AB117" s="1">
        <v>0</v>
      </c>
      <c r="AC117" s="1">
        <v>0</v>
      </c>
      <c r="AD117" s="1">
        <v>0</v>
      </c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</row>
    <row r="118" spans="1:49" x14ac:dyDescent="0.2">
      <c r="A118" s="8">
        <v>17640</v>
      </c>
      <c r="B118" s="8" t="s">
        <v>161</v>
      </c>
      <c r="C118" s="8" t="s">
        <v>67</v>
      </c>
      <c r="D118" s="29" t="s">
        <v>1</v>
      </c>
      <c r="E118" s="19"/>
      <c r="F118" s="1">
        <v>520</v>
      </c>
      <c r="G118" s="1">
        <v>0</v>
      </c>
      <c r="H118" s="1">
        <v>520</v>
      </c>
      <c r="I118" s="226"/>
      <c r="J118" s="1">
        <v>109.03999999999999</v>
      </c>
      <c r="K118" s="1">
        <f t="shared" si="5"/>
        <v>109.03999999999999</v>
      </c>
      <c r="L118" s="1"/>
      <c r="M118" s="226"/>
      <c r="N118" s="1">
        <v>0</v>
      </c>
      <c r="O118" s="1">
        <v>0</v>
      </c>
      <c r="P118" s="1">
        <v>0</v>
      </c>
      <c r="Q118" s="226"/>
      <c r="R118" s="1">
        <v>0</v>
      </c>
      <c r="S118" s="1">
        <v>0</v>
      </c>
      <c r="T118" s="1">
        <v>0</v>
      </c>
      <c r="V118" s="4">
        <f t="shared" si="3"/>
        <v>629.04</v>
      </c>
      <c r="W118" s="4">
        <f t="shared" si="3"/>
        <v>109.03999999999999</v>
      </c>
      <c r="X118" s="4">
        <f t="shared" si="3"/>
        <v>520</v>
      </c>
      <c r="Z118" s="153">
        <f t="shared" si="4"/>
        <v>629.04</v>
      </c>
      <c r="AB118" s="1">
        <v>0</v>
      </c>
      <c r="AC118" s="1">
        <v>0</v>
      </c>
      <c r="AD118" s="1">
        <v>0</v>
      </c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</row>
    <row r="119" spans="1:49" x14ac:dyDescent="0.2">
      <c r="A119" s="8">
        <v>17650</v>
      </c>
      <c r="B119" s="8" t="s">
        <v>162</v>
      </c>
      <c r="C119" s="8" t="s">
        <v>16</v>
      </c>
      <c r="D119" s="29" t="s">
        <v>1</v>
      </c>
      <c r="E119" s="19"/>
      <c r="F119" s="1">
        <v>458</v>
      </c>
      <c r="G119" s="1">
        <v>422</v>
      </c>
      <c r="H119" s="1">
        <v>36</v>
      </c>
      <c r="I119" s="226"/>
      <c r="J119" s="1">
        <v>60.22</v>
      </c>
      <c r="K119" s="1">
        <f t="shared" si="5"/>
        <v>60.22</v>
      </c>
      <c r="L119" s="1"/>
      <c r="M119" s="226"/>
      <c r="N119" s="1">
        <v>2378.1999999999998</v>
      </c>
      <c r="O119" s="1">
        <v>2338.1999999999998</v>
      </c>
      <c r="P119" s="1">
        <v>40</v>
      </c>
      <c r="Q119" s="226"/>
      <c r="R119" s="1">
        <v>0</v>
      </c>
      <c r="S119" s="1">
        <v>0</v>
      </c>
      <c r="T119" s="1">
        <v>0</v>
      </c>
      <c r="V119" s="4">
        <f t="shared" si="3"/>
        <v>2896.4199999999996</v>
      </c>
      <c r="W119" s="4">
        <f t="shared" si="3"/>
        <v>2820.4199999999996</v>
      </c>
      <c r="X119" s="4">
        <f t="shared" si="3"/>
        <v>76</v>
      </c>
      <c r="Z119" s="153">
        <f t="shared" si="4"/>
        <v>518.22</v>
      </c>
      <c r="AB119" s="1">
        <v>0</v>
      </c>
      <c r="AC119" s="1">
        <v>0</v>
      </c>
      <c r="AD119" s="1">
        <v>0</v>
      </c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</row>
    <row r="120" spans="1:49" x14ac:dyDescent="0.2">
      <c r="A120" s="8">
        <v>17750</v>
      </c>
      <c r="B120" s="8" t="s">
        <v>163</v>
      </c>
      <c r="C120" s="8" t="s">
        <v>21</v>
      </c>
      <c r="D120" s="29" t="s">
        <v>1</v>
      </c>
      <c r="E120" s="19"/>
      <c r="F120" s="1">
        <v>4340.28</v>
      </c>
      <c r="G120" s="1">
        <v>3776.2799999999997</v>
      </c>
      <c r="H120" s="1">
        <v>564</v>
      </c>
      <c r="I120" s="226"/>
      <c r="J120" s="1">
        <v>1625.65</v>
      </c>
      <c r="K120" s="1">
        <f t="shared" si="5"/>
        <v>1625.65</v>
      </c>
      <c r="L120" s="1"/>
      <c r="M120" s="226"/>
      <c r="N120" s="1">
        <v>547</v>
      </c>
      <c r="O120" s="1">
        <v>923</v>
      </c>
      <c r="P120" s="1">
        <v>-376</v>
      </c>
      <c r="Q120" s="226"/>
      <c r="R120" s="1">
        <v>0</v>
      </c>
      <c r="S120" s="1">
        <v>0</v>
      </c>
      <c r="T120" s="1">
        <v>0</v>
      </c>
      <c r="V120" s="4">
        <f t="shared" si="3"/>
        <v>6512.93</v>
      </c>
      <c r="W120" s="4">
        <f t="shared" si="3"/>
        <v>6324.93</v>
      </c>
      <c r="X120" s="4">
        <f t="shared" si="3"/>
        <v>188</v>
      </c>
      <c r="Z120" s="153">
        <f t="shared" si="4"/>
        <v>5965.93</v>
      </c>
      <c r="AB120" s="1">
        <v>0</v>
      </c>
      <c r="AC120" s="1">
        <v>0</v>
      </c>
      <c r="AD120" s="1">
        <v>0</v>
      </c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</row>
    <row r="121" spans="1:49" x14ac:dyDescent="0.2">
      <c r="A121" s="8">
        <v>17850</v>
      </c>
      <c r="B121" s="8" t="s">
        <v>164</v>
      </c>
      <c r="C121" s="8" t="s">
        <v>16</v>
      </c>
      <c r="D121" s="29" t="s">
        <v>1</v>
      </c>
      <c r="E121" s="19"/>
      <c r="F121" s="1">
        <v>179.93</v>
      </c>
      <c r="G121" s="1">
        <v>179.93</v>
      </c>
      <c r="H121" s="1">
        <v>0</v>
      </c>
      <c r="I121" s="226"/>
      <c r="J121" s="1">
        <v>20.79</v>
      </c>
      <c r="K121" s="1">
        <f t="shared" si="5"/>
        <v>20.79</v>
      </c>
      <c r="L121" s="1"/>
      <c r="M121" s="226"/>
      <c r="N121" s="1">
        <v>0</v>
      </c>
      <c r="O121" s="1">
        <v>0</v>
      </c>
      <c r="P121" s="1">
        <v>0</v>
      </c>
      <c r="Q121" s="226"/>
      <c r="R121" s="1">
        <v>0</v>
      </c>
      <c r="S121" s="1">
        <v>0</v>
      </c>
      <c r="T121" s="1">
        <v>0</v>
      </c>
      <c r="V121" s="4">
        <f t="shared" si="3"/>
        <v>200.72</v>
      </c>
      <c r="W121" s="4">
        <f t="shared" si="3"/>
        <v>200.72</v>
      </c>
      <c r="X121" s="4">
        <f t="shared" si="3"/>
        <v>0</v>
      </c>
      <c r="Z121" s="153">
        <f t="shared" si="4"/>
        <v>200.72</v>
      </c>
      <c r="AB121" s="1">
        <v>0</v>
      </c>
      <c r="AC121" s="1">
        <v>0</v>
      </c>
      <c r="AD121" s="1">
        <v>0</v>
      </c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</row>
    <row r="122" spans="1:49" x14ac:dyDescent="0.2">
      <c r="A122" s="8">
        <v>17900</v>
      </c>
      <c r="B122" s="8" t="s">
        <v>165</v>
      </c>
      <c r="C122" s="8" t="s">
        <v>38</v>
      </c>
      <c r="D122" s="29" t="s">
        <v>1</v>
      </c>
      <c r="E122" s="19">
        <v>1</v>
      </c>
      <c r="F122" s="1">
        <v>0</v>
      </c>
      <c r="G122" s="1">
        <v>0</v>
      </c>
      <c r="H122" s="1">
        <v>0</v>
      </c>
      <c r="I122" s="226"/>
      <c r="J122" s="1">
        <v>56.2</v>
      </c>
      <c r="K122" s="1">
        <f t="shared" si="5"/>
        <v>56.2</v>
      </c>
      <c r="L122" s="1"/>
      <c r="M122" s="226"/>
      <c r="N122" s="1">
        <v>0</v>
      </c>
      <c r="O122" s="1">
        <v>0</v>
      </c>
      <c r="P122" s="1">
        <v>0</v>
      </c>
      <c r="Q122" s="226"/>
      <c r="R122" s="1">
        <v>0</v>
      </c>
      <c r="S122" s="1">
        <v>0</v>
      </c>
      <c r="T122" s="1">
        <v>0</v>
      </c>
      <c r="V122" s="4">
        <f t="shared" si="3"/>
        <v>56.2</v>
      </c>
      <c r="W122" s="4">
        <f t="shared" si="3"/>
        <v>56.2</v>
      </c>
      <c r="X122" s="4">
        <f t="shared" si="3"/>
        <v>0</v>
      </c>
      <c r="Z122" s="153">
        <f t="shared" si="4"/>
        <v>56.2</v>
      </c>
      <c r="AB122" s="1">
        <v>0</v>
      </c>
      <c r="AC122" s="1">
        <v>0</v>
      </c>
      <c r="AD122" s="1">
        <v>0</v>
      </c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</row>
    <row r="123" spans="1:49" x14ac:dyDescent="0.2">
      <c r="A123" s="8">
        <v>17950</v>
      </c>
      <c r="B123" s="8" t="s">
        <v>166</v>
      </c>
      <c r="C123" s="8" t="s">
        <v>38</v>
      </c>
      <c r="D123" s="29" t="s">
        <v>1</v>
      </c>
      <c r="E123" s="19">
        <v>1</v>
      </c>
      <c r="F123" s="1">
        <v>0</v>
      </c>
      <c r="G123" s="1">
        <v>0</v>
      </c>
      <c r="H123" s="1">
        <v>0</v>
      </c>
      <c r="I123" s="226"/>
      <c r="J123" s="1">
        <v>12.39</v>
      </c>
      <c r="K123" s="1">
        <f t="shared" si="5"/>
        <v>12.39</v>
      </c>
      <c r="L123" s="1"/>
      <c r="M123" s="226"/>
      <c r="N123" s="1">
        <v>10</v>
      </c>
      <c r="O123" s="1">
        <v>0</v>
      </c>
      <c r="P123" s="1">
        <v>10</v>
      </c>
      <c r="Q123" s="226"/>
      <c r="R123" s="1">
        <v>0</v>
      </c>
      <c r="S123" s="1">
        <v>0</v>
      </c>
      <c r="T123" s="1">
        <v>0</v>
      </c>
      <c r="V123" s="4">
        <f t="shared" si="3"/>
        <v>22.39</v>
      </c>
      <c r="W123" s="4">
        <f t="shared" si="3"/>
        <v>12.39</v>
      </c>
      <c r="X123" s="4">
        <f t="shared" si="3"/>
        <v>10</v>
      </c>
      <c r="Z123" s="153">
        <f t="shared" si="4"/>
        <v>12.39</v>
      </c>
      <c r="AB123" s="1">
        <v>0</v>
      </c>
      <c r="AC123" s="1">
        <v>0</v>
      </c>
      <c r="AD123" s="1">
        <v>0</v>
      </c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</row>
    <row r="124" spans="1:49" x14ac:dyDescent="0.2">
      <c r="A124" s="8">
        <v>18020</v>
      </c>
      <c r="B124" s="8" t="s">
        <v>167</v>
      </c>
      <c r="C124" s="8" t="s">
        <v>38</v>
      </c>
      <c r="D124" s="29" t="s">
        <v>1</v>
      </c>
      <c r="E124" s="19"/>
      <c r="F124" s="1">
        <v>247.77</v>
      </c>
      <c r="G124" s="1">
        <v>199.77</v>
      </c>
      <c r="H124" s="1">
        <v>48</v>
      </c>
      <c r="I124" s="226"/>
      <c r="J124" s="1">
        <v>203.95</v>
      </c>
      <c r="K124" s="1">
        <f t="shared" si="5"/>
        <v>203.95</v>
      </c>
      <c r="L124" s="1"/>
      <c r="M124" s="226"/>
      <c r="N124" s="1">
        <v>0</v>
      </c>
      <c r="O124" s="1">
        <v>0</v>
      </c>
      <c r="P124" s="1">
        <v>0</v>
      </c>
      <c r="Q124" s="226"/>
      <c r="R124" s="1">
        <v>0</v>
      </c>
      <c r="S124" s="1">
        <v>0</v>
      </c>
      <c r="T124" s="1">
        <v>0</v>
      </c>
      <c r="V124" s="4">
        <f t="shared" si="3"/>
        <v>451.72</v>
      </c>
      <c r="W124" s="4">
        <f t="shared" si="3"/>
        <v>403.72</v>
      </c>
      <c r="X124" s="4">
        <f t="shared" si="3"/>
        <v>48</v>
      </c>
      <c r="Z124" s="153">
        <f t="shared" si="4"/>
        <v>451.72</v>
      </c>
      <c r="AB124" s="1">
        <v>0</v>
      </c>
      <c r="AC124" s="1">
        <v>0</v>
      </c>
      <c r="AD124" s="1">
        <v>0</v>
      </c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</row>
    <row r="125" spans="1:49" x14ac:dyDescent="0.2">
      <c r="A125" s="8">
        <v>18050</v>
      </c>
      <c r="B125" s="8" t="s">
        <v>62</v>
      </c>
      <c r="C125" s="8" t="s">
        <v>17</v>
      </c>
      <c r="D125" s="29" t="s">
        <v>2</v>
      </c>
      <c r="E125" s="19"/>
      <c r="F125" s="1">
        <v>4996</v>
      </c>
      <c r="G125" s="1">
        <v>4465</v>
      </c>
      <c r="H125" s="1">
        <v>531</v>
      </c>
      <c r="I125" s="226"/>
      <c r="J125" s="1">
        <v>257.72000000000003</v>
      </c>
      <c r="K125" s="1">
        <f t="shared" si="5"/>
        <v>257.72000000000003</v>
      </c>
      <c r="L125" s="1"/>
      <c r="M125" s="226"/>
      <c r="N125" s="1">
        <v>151.38</v>
      </c>
      <c r="O125" s="1">
        <v>151.38</v>
      </c>
      <c r="P125" s="1">
        <v>0</v>
      </c>
      <c r="Q125" s="226"/>
      <c r="R125" s="1">
        <v>475</v>
      </c>
      <c r="S125" s="1">
        <v>475</v>
      </c>
      <c r="T125" s="1">
        <v>0</v>
      </c>
      <c r="V125" s="4">
        <f t="shared" si="3"/>
        <v>5880.1</v>
      </c>
      <c r="W125" s="4">
        <f t="shared" si="3"/>
        <v>5349.1</v>
      </c>
      <c r="X125" s="4">
        <f t="shared" si="3"/>
        <v>531</v>
      </c>
      <c r="Z125" s="153">
        <f t="shared" si="4"/>
        <v>5253.72</v>
      </c>
      <c r="AB125" s="1">
        <v>0</v>
      </c>
      <c r="AC125" s="1">
        <v>0</v>
      </c>
      <c r="AD125" s="1">
        <v>0</v>
      </c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</row>
    <row r="126" spans="1:49" x14ac:dyDescent="0.2">
      <c r="A126" s="8">
        <v>18100</v>
      </c>
      <c r="B126" s="8" t="s">
        <v>168</v>
      </c>
      <c r="C126" s="8" t="s">
        <v>38</v>
      </c>
      <c r="D126" s="29" t="s">
        <v>1</v>
      </c>
      <c r="E126" s="19"/>
      <c r="F126" s="1">
        <v>170.12</v>
      </c>
      <c r="G126" s="1">
        <v>170.12</v>
      </c>
      <c r="H126" s="1">
        <v>0</v>
      </c>
      <c r="I126" s="226"/>
      <c r="J126" s="1">
        <v>58.06</v>
      </c>
      <c r="K126" s="1">
        <f t="shared" si="5"/>
        <v>58.06</v>
      </c>
      <c r="L126" s="1"/>
      <c r="M126" s="226"/>
      <c r="N126" s="1">
        <v>31.99</v>
      </c>
      <c r="O126" s="1">
        <v>25.61</v>
      </c>
      <c r="P126" s="1">
        <v>6.38</v>
      </c>
      <c r="Q126" s="226"/>
      <c r="R126" s="1">
        <v>0</v>
      </c>
      <c r="S126" s="1">
        <v>0</v>
      </c>
      <c r="T126" s="1">
        <v>0</v>
      </c>
      <c r="V126" s="4">
        <f t="shared" si="3"/>
        <v>260.17</v>
      </c>
      <c r="W126" s="4">
        <f t="shared" si="3"/>
        <v>253.79000000000002</v>
      </c>
      <c r="X126" s="4">
        <f t="shared" si="3"/>
        <v>6.38</v>
      </c>
      <c r="Z126" s="153">
        <f t="shared" si="4"/>
        <v>228.18</v>
      </c>
      <c r="AB126" s="1">
        <v>0</v>
      </c>
      <c r="AC126" s="1">
        <v>0</v>
      </c>
      <c r="AD126" s="1">
        <v>0</v>
      </c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</row>
    <row r="127" spans="1:49" x14ac:dyDescent="0.2">
      <c r="A127" s="8">
        <v>18200</v>
      </c>
      <c r="B127" s="8" t="s">
        <v>169</v>
      </c>
      <c r="C127" s="8" t="s">
        <v>66</v>
      </c>
      <c r="D127" s="29" t="s">
        <v>1</v>
      </c>
      <c r="E127" s="19">
        <v>1</v>
      </c>
      <c r="F127" s="1">
        <v>0</v>
      </c>
      <c r="G127" s="1">
        <v>0</v>
      </c>
      <c r="H127" s="1">
        <v>0</v>
      </c>
      <c r="I127" s="226"/>
      <c r="J127" s="1">
        <v>412.21</v>
      </c>
      <c r="K127" s="1">
        <f t="shared" si="5"/>
        <v>412.21</v>
      </c>
      <c r="L127" s="1"/>
      <c r="M127" s="226"/>
      <c r="N127" s="1">
        <v>0</v>
      </c>
      <c r="O127" s="1">
        <v>0</v>
      </c>
      <c r="P127" s="1">
        <v>0</v>
      </c>
      <c r="Q127" s="226"/>
      <c r="R127" s="1">
        <v>0</v>
      </c>
      <c r="S127" s="1">
        <v>0</v>
      </c>
      <c r="T127" s="1">
        <v>0</v>
      </c>
      <c r="V127" s="4">
        <f t="shared" si="3"/>
        <v>412.21</v>
      </c>
      <c r="W127" s="4">
        <f t="shared" si="3"/>
        <v>412.21</v>
      </c>
      <c r="X127" s="4">
        <f t="shared" si="3"/>
        <v>0</v>
      </c>
      <c r="Z127" s="153">
        <f t="shared" si="4"/>
        <v>412.21</v>
      </c>
      <c r="AB127" s="1">
        <v>0</v>
      </c>
      <c r="AC127" s="1">
        <v>0</v>
      </c>
      <c r="AD127" s="1">
        <v>0</v>
      </c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</row>
    <row r="128" spans="1:49" x14ac:dyDescent="0.2">
      <c r="A128" s="8">
        <v>18250</v>
      </c>
      <c r="B128" s="8" t="s">
        <v>63</v>
      </c>
      <c r="C128" s="8" t="s">
        <v>24</v>
      </c>
      <c r="D128" s="29" t="s">
        <v>2</v>
      </c>
      <c r="E128" s="19"/>
      <c r="F128" s="1">
        <v>5621.41</v>
      </c>
      <c r="G128" s="1">
        <v>5621.41</v>
      </c>
      <c r="H128" s="1">
        <v>0</v>
      </c>
      <c r="I128" s="226"/>
      <c r="J128" s="1">
        <v>130.82</v>
      </c>
      <c r="K128" s="1">
        <f t="shared" si="5"/>
        <v>130.82</v>
      </c>
      <c r="L128" s="1"/>
      <c r="M128" s="226"/>
      <c r="N128" s="1">
        <v>0</v>
      </c>
      <c r="O128" s="1">
        <v>0</v>
      </c>
      <c r="P128" s="1">
        <v>0</v>
      </c>
      <c r="Q128" s="226"/>
      <c r="R128" s="1">
        <v>0</v>
      </c>
      <c r="S128" s="1">
        <v>0</v>
      </c>
      <c r="T128" s="1">
        <v>0</v>
      </c>
      <c r="V128" s="4">
        <f t="shared" si="3"/>
        <v>5752.23</v>
      </c>
      <c r="W128" s="4">
        <f t="shared" si="3"/>
        <v>5752.23</v>
      </c>
      <c r="X128" s="4">
        <f t="shared" si="3"/>
        <v>0</v>
      </c>
      <c r="Z128" s="153">
        <f t="shared" si="4"/>
        <v>5752.23</v>
      </c>
      <c r="AB128" s="1">
        <v>0</v>
      </c>
      <c r="AC128" s="1">
        <v>0</v>
      </c>
      <c r="AD128" s="1">
        <v>0</v>
      </c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</row>
    <row r="129" spans="1:49" x14ac:dyDescent="0.2">
      <c r="A129" s="8">
        <v>18350</v>
      </c>
      <c r="B129" s="8" t="s">
        <v>64</v>
      </c>
      <c r="C129" s="8" t="s">
        <v>67</v>
      </c>
      <c r="D129" s="29" t="s">
        <v>2</v>
      </c>
      <c r="E129" s="19"/>
      <c r="F129" s="1">
        <v>4221</v>
      </c>
      <c r="G129" s="1">
        <v>3166</v>
      </c>
      <c r="H129" s="1">
        <v>1055</v>
      </c>
      <c r="I129" s="226"/>
      <c r="J129" s="1">
        <v>621.81999999999994</v>
      </c>
      <c r="K129" s="1">
        <f t="shared" si="5"/>
        <v>621.81999999999994</v>
      </c>
      <c r="L129" s="1"/>
      <c r="M129" s="226"/>
      <c r="N129" s="1">
        <v>2306.62</v>
      </c>
      <c r="O129" s="1">
        <v>2072.17</v>
      </c>
      <c r="P129" s="1">
        <v>234.45000000000002</v>
      </c>
      <c r="Q129" s="226"/>
      <c r="R129" s="1">
        <v>309.5</v>
      </c>
      <c r="S129" s="1">
        <v>0</v>
      </c>
      <c r="T129" s="1">
        <v>309.5</v>
      </c>
      <c r="V129" s="4">
        <f t="shared" si="3"/>
        <v>7458.94</v>
      </c>
      <c r="W129" s="4">
        <f t="shared" si="3"/>
        <v>5859.99</v>
      </c>
      <c r="X129" s="4">
        <f t="shared" si="3"/>
        <v>1598.95</v>
      </c>
      <c r="Z129" s="153">
        <f t="shared" si="4"/>
        <v>4842.82</v>
      </c>
      <c r="AB129" s="1">
        <v>0</v>
      </c>
      <c r="AC129" s="1">
        <v>0</v>
      </c>
      <c r="AD129" s="1">
        <v>0</v>
      </c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</row>
    <row r="130" spans="1:49" x14ac:dyDescent="0.2">
      <c r="A130" s="8">
        <v>18400</v>
      </c>
      <c r="B130" s="8" t="s">
        <v>170</v>
      </c>
      <c r="C130" s="8" t="s">
        <v>182</v>
      </c>
      <c r="D130" s="29" t="s">
        <v>3</v>
      </c>
      <c r="E130" s="19"/>
      <c r="F130" s="1">
        <v>4096</v>
      </c>
      <c r="G130" s="1">
        <v>3042</v>
      </c>
      <c r="H130" s="1">
        <v>1054</v>
      </c>
      <c r="I130" s="226"/>
      <c r="J130" s="1">
        <v>514.97</v>
      </c>
      <c r="K130" s="1">
        <f t="shared" si="5"/>
        <v>514.97</v>
      </c>
      <c r="L130" s="1"/>
      <c r="M130" s="226"/>
      <c r="N130" s="1">
        <v>1140</v>
      </c>
      <c r="O130" s="1">
        <v>1140</v>
      </c>
      <c r="P130" s="1">
        <v>0</v>
      </c>
      <c r="Q130" s="226"/>
      <c r="R130" s="1">
        <v>290</v>
      </c>
      <c r="S130" s="1">
        <v>290</v>
      </c>
      <c r="T130" s="1">
        <v>0</v>
      </c>
      <c r="V130" s="4">
        <f t="shared" si="3"/>
        <v>6040.97</v>
      </c>
      <c r="W130" s="4">
        <f t="shared" si="3"/>
        <v>4986.97</v>
      </c>
      <c r="X130" s="4">
        <f t="shared" si="3"/>
        <v>1054</v>
      </c>
      <c r="Z130" s="153">
        <f t="shared" si="4"/>
        <v>4610.97</v>
      </c>
      <c r="AB130" s="1">
        <v>0</v>
      </c>
      <c r="AC130" s="1">
        <v>0</v>
      </c>
      <c r="AD130" s="1">
        <v>0</v>
      </c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</row>
    <row r="131" spans="1:49" x14ac:dyDescent="0.2">
      <c r="A131" s="8">
        <v>18450</v>
      </c>
      <c r="B131" s="8" t="s">
        <v>171</v>
      </c>
      <c r="C131" s="8" t="s">
        <v>37</v>
      </c>
      <c r="D131" s="29" t="s">
        <v>2</v>
      </c>
      <c r="E131" s="19"/>
      <c r="F131" s="1">
        <v>14876.26</v>
      </c>
      <c r="G131" s="1">
        <v>13293.24</v>
      </c>
      <c r="H131" s="1">
        <v>1583.02</v>
      </c>
      <c r="I131" s="226"/>
      <c r="J131" s="1">
        <v>2280.0299999999997</v>
      </c>
      <c r="K131" s="1">
        <f t="shared" si="5"/>
        <v>2280.0299999999997</v>
      </c>
      <c r="L131" s="1"/>
      <c r="M131" s="226"/>
      <c r="N131" s="1">
        <v>0</v>
      </c>
      <c r="O131" s="1">
        <v>0</v>
      </c>
      <c r="P131" s="1">
        <v>0</v>
      </c>
      <c r="Q131" s="226"/>
      <c r="R131" s="1">
        <v>1016.5899999999999</v>
      </c>
      <c r="S131" s="1">
        <v>1016.5899999999999</v>
      </c>
      <c r="T131" s="1">
        <v>0</v>
      </c>
      <c r="V131" s="4">
        <f t="shared" si="3"/>
        <v>18172.88</v>
      </c>
      <c r="W131" s="4">
        <f t="shared" si="3"/>
        <v>16589.86</v>
      </c>
      <c r="X131" s="4">
        <f t="shared" si="3"/>
        <v>1583.02</v>
      </c>
      <c r="Z131" s="153">
        <f t="shared" si="4"/>
        <v>17156.29</v>
      </c>
      <c r="AB131" s="1">
        <v>0</v>
      </c>
      <c r="AC131" s="1">
        <v>0</v>
      </c>
      <c r="AD131" s="1">
        <v>0</v>
      </c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</row>
    <row r="132" spans="1:49" x14ac:dyDescent="0.2">
      <c r="A132" s="8">
        <v>18500</v>
      </c>
      <c r="B132" s="8" t="s">
        <v>65</v>
      </c>
      <c r="C132" s="8" t="s">
        <v>17</v>
      </c>
      <c r="D132" s="29" t="s">
        <v>2</v>
      </c>
      <c r="E132" s="19"/>
      <c r="F132" s="1">
        <v>5266.17</v>
      </c>
      <c r="G132" s="1">
        <v>5266.17</v>
      </c>
      <c r="H132" s="1">
        <v>0</v>
      </c>
      <c r="I132" s="226"/>
      <c r="J132" s="1">
        <v>0</v>
      </c>
      <c r="K132" s="1">
        <f t="shared" si="5"/>
        <v>0</v>
      </c>
      <c r="L132" s="1"/>
      <c r="M132" s="226"/>
      <c r="N132" s="1">
        <v>0</v>
      </c>
      <c r="O132" s="1">
        <v>0</v>
      </c>
      <c r="P132" s="1">
        <v>0</v>
      </c>
      <c r="Q132" s="226"/>
      <c r="R132" s="1">
        <v>2364</v>
      </c>
      <c r="S132" s="1">
        <v>2364</v>
      </c>
      <c r="T132" s="1">
        <v>0</v>
      </c>
      <c r="V132" s="4">
        <f t="shared" si="3"/>
        <v>7630.17</v>
      </c>
      <c r="W132" s="4">
        <f t="shared" si="3"/>
        <v>7630.17</v>
      </c>
      <c r="X132" s="4">
        <f t="shared" si="3"/>
        <v>0</v>
      </c>
      <c r="Z132" s="153">
        <f t="shared" si="4"/>
        <v>5266.17</v>
      </c>
      <c r="AB132" s="1">
        <v>0</v>
      </c>
      <c r="AC132" s="1">
        <v>0</v>
      </c>
      <c r="AD132" s="1">
        <v>0</v>
      </c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</row>
    <row r="133" spans="1:49" x14ac:dyDescent="0.2">
      <c r="A133" s="8">
        <v>18710</v>
      </c>
      <c r="B133" s="8" t="s">
        <v>172</v>
      </c>
      <c r="C133" s="8" t="s">
        <v>67</v>
      </c>
      <c r="D133" s="29" t="s">
        <v>1</v>
      </c>
      <c r="E133" s="19"/>
      <c r="F133" s="1">
        <v>395.1</v>
      </c>
      <c r="G133" s="1">
        <v>395.1</v>
      </c>
      <c r="H133" s="1">
        <v>0</v>
      </c>
      <c r="I133" s="226"/>
      <c r="J133" s="1">
        <v>136.80000000000001</v>
      </c>
      <c r="K133" s="1">
        <f t="shared" si="5"/>
        <v>136.80000000000001</v>
      </c>
      <c r="L133" s="1"/>
      <c r="M133" s="226"/>
      <c r="N133" s="1">
        <v>1395</v>
      </c>
      <c r="O133" s="1">
        <v>1373</v>
      </c>
      <c r="P133" s="1">
        <v>22</v>
      </c>
      <c r="Q133" s="226"/>
      <c r="R133" s="1">
        <v>0</v>
      </c>
      <c r="S133" s="1">
        <v>0</v>
      </c>
      <c r="T133" s="1">
        <v>0</v>
      </c>
      <c r="V133" s="4">
        <f>F133+N133+R133+J133</f>
        <v>1926.8999999999999</v>
      </c>
      <c r="W133" s="4">
        <f>G133+O133+S133+K133</f>
        <v>1904.8999999999999</v>
      </c>
      <c r="X133" s="4">
        <f>H133+P133+T133+L133</f>
        <v>22</v>
      </c>
      <c r="Z133" s="153">
        <f t="shared" si="4"/>
        <v>531.90000000000009</v>
      </c>
      <c r="AB133" s="1">
        <v>0</v>
      </c>
      <c r="AC133" s="1">
        <v>0</v>
      </c>
      <c r="AD133" s="1">
        <v>0</v>
      </c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</row>
    <row r="134" spans="1:49" s="134" customFormat="1" ht="11.25" x14ac:dyDescent="0.2">
      <c r="F134" s="630" t="s">
        <v>465</v>
      </c>
      <c r="G134" s="138"/>
      <c r="H134" s="138"/>
      <c r="J134" s="228"/>
      <c r="K134" s="138"/>
      <c r="L134" s="138"/>
      <c r="N134" s="228"/>
      <c r="O134" s="138"/>
      <c r="P134" s="138"/>
      <c r="R134" s="228"/>
      <c r="S134" s="138"/>
      <c r="T134" s="138"/>
      <c r="V134" s="2"/>
      <c r="W134" s="2"/>
      <c r="X134" s="2"/>
      <c r="Z134" s="153"/>
      <c r="AB134" s="138"/>
      <c r="AC134" s="138"/>
      <c r="AD134" s="138"/>
    </row>
    <row r="135" spans="1:49" s="134" customFormat="1" ht="11.25" x14ac:dyDescent="0.2">
      <c r="A135" s="719" t="s">
        <v>0</v>
      </c>
      <c r="B135" s="719"/>
      <c r="C135" s="719"/>
      <c r="D135" s="135"/>
      <c r="F135" s="137"/>
      <c r="G135" s="230"/>
      <c r="H135" s="138"/>
      <c r="J135" s="137"/>
      <c r="K135" s="138"/>
      <c r="L135" s="138"/>
      <c r="N135" s="137"/>
      <c r="O135" s="136"/>
      <c r="P135" s="138"/>
      <c r="R135" s="137"/>
      <c r="S135" s="136"/>
      <c r="T135" s="138"/>
      <c r="V135" s="2"/>
      <c r="W135" s="149"/>
      <c r="X135" s="149"/>
      <c r="Z135" s="231"/>
      <c r="AA135" s="231"/>
      <c r="AB135" s="138"/>
      <c r="AC135" s="138"/>
      <c r="AD135" s="138"/>
      <c r="AE135" s="231"/>
    </row>
    <row r="136" spans="1:49" s="134" customFormat="1" ht="15" customHeight="1" x14ac:dyDescent="0.2">
      <c r="A136" s="698" t="s">
        <v>7</v>
      </c>
      <c r="B136" s="699"/>
      <c r="C136" s="700"/>
      <c r="D136" s="135"/>
      <c r="F136" s="140">
        <f>SUM(F6:F133)</f>
        <v>538761.1</v>
      </c>
      <c r="G136" s="140">
        <f>SUM(G6:G133)</f>
        <v>488037.85</v>
      </c>
      <c r="H136" s="140">
        <f>SUM(H6:H133)</f>
        <v>50723.25</v>
      </c>
      <c r="I136" s="232"/>
      <c r="J136" s="140">
        <f>SUM(J6:J133)</f>
        <v>127749.36</v>
      </c>
      <c r="K136" s="140">
        <f>SUM(K6:K133)</f>
        <v>127749.36</v>
      </c>
      <c r="L136" s="140">
        <f>SUM(L6:L133)</f>
        <v>0</v>
      </c>
      <c r="M136" s="232"/>
      <c r="N136" s="140">
        <f>SUM(N6:N133)</f>
        <v>108657.74800000001</v>
      </c>
      <c r="O136" s="140">
        <f>SUM(O6:O133)</f>
        <v>105084.488</v>
      </c>
      <c r="P136" s="140">
        <f>SUM(P6:P133)</f>
        <v>3573.2599999999998</v>
      </c>
      <c r="Q136" s="232"/>
      <c r="R136" s="140">
        <f>SUM(R6:R133)</f>
        <v>19213.409999999996</v>
      </c>
      <c r="S136" s="140">
        <f>SUM(S6:S133)</f>
        <v>17830.399999999998</v>
      </c>
      <c r="T136" s="140">
        <f>SUM(T6:T133)</f>
        <v>1383.01</v>
      </c>
      <c r="V136" s="140">
        <f>SUM(V6:V133)</f>
        <v>794381.61800000002</v>
      </c>
      <c r="W136" s="140">
        <f>SUM(W6:W133)</f>
        <v>738702.098</v>
      </c>
      <c r="X136" s="140">
        <f>SUM(X6:X133)</f>
        <v>55679.520000000004</v>
      </c>
      <c r="Y136" s="144">
        <f>W136/V136</f>
        <v>0.92990834790439469</v>
      </c>
      <c r="Z136" s="233">
        <f>F136+J136</f>
        <v>666510.46</v>
      </c>
      <c r="AA136" s="233"/>
      <c r="AB136" s="140">
        <f>SUM(AB6:AB133)</f>
        <v>22416.11</v>
      </c>
      <c r="AC136" s="140">
        <f>SUM(AC6:AC133)</f>
        <v>22014.13</v>
      </c>
      <c r="AD136" s="140">
        <f>SUM(AD6:AD133)</f>
        <v>401.98</v>
      </c>
      <c r="AE136" s="231"/>
      <c r="AF136" s="153">
        <f>V136+AB136</f>
        <v>816797.728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565"/>
    </row>
    <row r="137" spans="1:49" s="134" customFormat="1" ht="11.25" x14ac:dyDescent="0.2">
      <c r="D137" s="135"/>
      <c r="F137" s="136"/>
      <c r="G137" s="138"/>
      <c r="H137" s="137"/>
      <c r="J137" s="138"/>
      <c r="K137" s="138"/>
      <c r="L137" s="138"/>
      <c r="N137" s="138"/>
      <c r="O137" s="138"/>
      <c r="P137" s="138"/>
      <c r="R137" s="138"/>
      <c r="S137" s="138"/>
      <c r="T137" s="138"/>
      <c r="V137" s="464">
        <f>V136-J136</f>
        <v>666632.25800000003</v>
      </c>
      <c r="W137" s="30"/>
      <c r="X137" s="30"/>
      <c r="Z137" s="146"/>
      <c r="AA137" s="231"/>
      <c r="AB137" s="138"/>
      <c r="AC137" s="138"/>
      <c r="AD137" s="138"/>
      <c r="AE137" s="231"/>
      <c r="AF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565"/>
    </row>
    <row r="138" spans="1:49" s="134" customFormat="1" ht="15" customHeight="1" x14ac:dyDescent="0.2">
      <c r="A138" s="694" t="s">
        <v>458</v>
      </c>
      <c r="B138" s="694"/>
      <c r="C138" s="694"/>
      <c r="D138" s="147"/>
      <c r="E138" s="147">
        <f>SUMIF($D$6:$D$133,"S",E$6:E$133)</f>
        <v>0</v>
      </c>
      <c r="F138" s="147">
        <f>SUMIF($D$6:$D$133,"S",F$6:F$133)</f>
        <v>402592.37999999989</v>
      </c>
      <c r="G138" s="147">
        <f>SUMIF($D$6:$D$133,"S",G$6:G$133)</f>
        <v>367571.42</v>
      </c>
      <c r="H138" s="147">
        <f>SUMIF($D$6:$D$133,"S",H$6:H$133)</f>
        <v>35020.959999999999</v>
      </c>
      <c r="J138" s="147">
        <f>SUMIF($D$6:$D$133,"S",J$6:J$133)</f>
        <v>82471.119999999981</v>
      </c>
      <c r="K138" s="147">
        <f>SUMIF($D$6:$D$133,"S",K$6:K$133)</f>
        <v>82471.119999999981</v>
      </c>
      <c r="L138" s="147">
        <f>SUMIF($D$6:$D$133,"S",L$6:L$133)</f>
        <v>0</v>
      </c>
      <c r="N138" s="147">
        <f>SUMIF($D$6:$D$133,"S",N$6:N$133)</f>
        <v>23366.389999999996</v>
      </c>
      <c r="O138" s="147">
        <f>SUMIF($D$6:$D$133,"S",O$6:O$133)</f>
        <v>22713.259999999995</v>
      </c>
      <c r="P138" s="147">
        <f>SUMIF($D$6:$D$133,"S",P$6:P$133)</f>
        <v>653.13</v>
      </c>
      <c r="R138" s="147">
        <f>SUMIF($D$6:$D$133,"S",R$6:R$133)</f>
        <v>16621.400000000001</v>
      </c>
      <c r="S138" s="147">
        <f>SUMIF($D$6:$D$133,"S",S$6:S$133)</f>
        <v>15275.03</v>
      </c>
      <c r="T138" s="147">
        <f>SUMIF($D$6:$D$133,"S",T$6:T$133)</f>
        <v>1346.37</v>
      </c>
      <c r="V138" s="147">
        <f>SUMIF($D$6:$D$133,"S",V$6:V$133)</f>
        <v>525051.29</v>
      </c>
      <c r="W138" s="147">
        <f>SUMIF($D$6:$D$133,"S",W$6:W$133)</f>
        <v>488030.82999999996</v>
      </c>
      <c r="X138" s="147">
        <f>SUMIF($D$6:$D$133,"S",X$6:X$133)</f>
        <v>37020.46</v>
      </c>
      <c r="Y138" s="144"/>
      <c r="Z138" s="147">
        <f>F138+J138</f>
        <v>485063.49999999988</v>
      </c>
      <c r="AA138" s="231"/>
      <c r="AB138" s="147">
        <f>SUMIF($D$6:$D$133,"S",AB$6:AB$133)</f>
        <v>389.34000000000003</v>
      </c>
      <c r="AC138" s="147">
        <f>SUMIF($D$6:$D$133,"S",AC$6:AC$133)</f>
        <v>245.23</v>
      </c>
      <c r="AD138" s="147">
        <f>SUMIF($D$6:$D$133,"S",AD$6:AD$133)</f>
        <v>144.11000000000001</v>
      </c>
      <c r="AE138" s="231"/>
      <c r="AF138" s="153">
        <f t="shared" ref="AF138:AF140" si="6">V138+AB138</f>
        <v>525440.63</v>
      </c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565"/>
    </row>
    <row r="139" spans="1:49" s="134" customFormat="1" ht="15" customHeight="1" x14ac:dyDescent="0.2">
      <c r="A139" s="694" t="s">
        <v>460</v>
      </c>
      <c r="B139" s="694"/>
      <c r="C139" s="694"/>
      <c r="D139" s="234"/>
      <c r="E139" s="146"/>
      <c r="F139" s="147">
        <f>SUMIF($D$6:$D$133,"R",F$6:F$133)</f>
        <v>67647.009999999995</v>
      </c>
      <c r="G139" s="147">
        <f>SUMIF($D$6:$D$133,"R",G$6:G$133)</f>
        <v>59656.2</v>
      </c>
      <c r="H139" s="147">
        <f>SUMIF($D$6:$D$133,"R",H$6:H$133)</f>
        <v>7990.81</v>
      </c>
      <c r="J139" s="147">
        <f>SUMIF($D$6:$D$133,"R",J$6:J$133)</f>
        <v>18968.780000000002</v>
      </c>
      <c r="K139" s="147">
        <f>SUMIF($D$6:$D$133,"R",K$6:K$133)</f>
        <v>18968.780000000002</v>
      </c>
      <c r="L139" s="147">
        <f>SUMIF($D$6:$D$133,"R",L$6:L$133)</f>
        <v>0</v>
      </c>
      <c r="N139" s="147">
        <f>SUMIF($D$6:$D$133,"R",N$6:N$133)</f>
        <v>30504.198000000004</v>
      </c>
      <c r="O139" s="147">
        <f>SUMIF($D$6:$D$133,"R",O$6:O$133)</f>
        <v>30368.718000000004</v>
      </c>
      <c r="P139" s="147">
        <f>SUMIF($D$6:$D$133,"R",P$6:P$133)</f>
        <v>135.48000000000002</v>
      </c>
      <c r="R139" s="147">
        <f>SUMIF($D$6:$D$133,"R",R$6:R$133)</f>
        <v>1507.1599999999999</v>
      </c>
      <c r="S139" s="147">
        <f>SUMIF($D$6:$D$133,"R",S$6:S$133)</f>
        <v>1507.1599999999999</v>
      </c>
      <c r="T139" s="147">
        <f>SUMIF($D$6:$D$133,"R",T$6:T$133)</f>
        <v>0</v>
      </c>
      <c r="V139" s="147">
        <f>SUMIF($D$6:$D$133,"R",V$6:V$133)</f>
        <v>118627.148</v>
      </c>
      <c r="W139" s="147">
        <f>SUMIF($D$6:$D$133,"R",W$6:W$133)</f>
        <v>110500.85800000001</v>
      </c>
      <c r="X139" s="147">
        <f>SUMIF($D$6:$D$133,"R",X$6:X$133)</f>
        <v>8126.2900000000009</v>
      </c>
      <c r="Y139" s="144"/>
      <c r="Z139" s="147">
        <f>F139+J139</f>
        <v>86615.79</v>
      </c>
      <c r="AA139" s="231"/>
      <c r="AB139" s="147">
        <f>SUMIF($D$6:$D$133,"R",AB$6:AB$133)</f>
        <v>21164.559999999998</v>
      </c>
      <c r="AC139" s="147">
        <f>SUMIF($D$6:$D$133,"R",AC$6:AC$133)</f>
        <v>20957.189999999999</v>
      </c>
      <c r="AD139" s="147">
        <f>SUMIF($D$6:$D$133,"R",AD$6:AD$133)</f>
        <v>207.37</v>
      </c>
      <c r="AE139" s="231"/>
      <c r="AF139" s="153">
        <f t="shared" si="6"/>
        <v>139791.70799999998</v>
      </c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565"/>
    </row>
    <row r="140" spans="1:49" s="134" customFormat="1" ht="15" customHeight="1" x14ac:dyDescent="0.2">
      <c r="A140" s="694" t="s">
        <v>463</v>
      </c>
      <c r="B140" s="694"/>
      <c r="C140" s="694"/>
      <c r="D140" s="234"/>
      <c r="E140" s="146"/>
      <c r="F140" s="147">
        <f>SUMIF($D$6:$D$133,"N",F$6:F$133)</f>
        <v>68521.710000000006</v>
      </c>
      <c r="G140" s="147">
        <f>SUMIF($D$6:$D$133,"N",G$6:G$133)</f>
        <v>60810.23</v>
      </c>
      <c r="H140" s="147">
        <f>SUMIF($D$6:$D$133,"N",H$6:H$133)</f>
        <v>7711.4800000000005</v>
      </c>
      <c r="J140" s="147">
        <f>SUMIF($D$6:$D$133,"N",J$6:J$133)</f>
        <v>26309.460000000014</v>
      </c>
      <c r="K140" s="147">
        <f>SUMIF($D$6:$D$133,"N",K$6:K$133)</f>
        <v>26309.460000000014</v>
      </c>
      <c r="L140" s="147">
        <f>SUMIF($D$6:$D$133,"N",L$6:L$133)</f>
        <v>0</v>
      </c>
      <c r="N140" s="147">
        <f>SUMIF($D$6:$D$133,"N",N$6:N$133)</f>
        <v>54787.159999999989</v>
      </c>
      <c r="O140" s="147">
        <f>SUMIF($D$6:$D$133,"N",O$6:O$133)</f>
        <v>52002.509999999987</v>
      </c>
      <c r="P140" s="147">
        <f>SUMIF($D$6:$D$133,"N",P$6:P$133)</f>
        <v>2784.6499999999996</v>
      </c>
      <c r="R140" s="147">
        <f>SUMIF($D$6:$D$133,"N",R$6:R$133)</f>
        <v>1084.8499999999999</v>
      </c>
      <c r="S140" s="147">
        <f>SUMIF($D$6:$D$133,"N",S$6:S$133)</f>
        <v>1048.2099999999998</v>
      </c>
      <c r="T140" s="147">
        <f>SUMIF($D$6:$D$133,"N",T$6:T$133)</f>
        <v>36.64</v>
      </c>
      <c r="V140" s="147">
        <f>SUMIF($D$6:$D$133,"N",V$6:V$133)</f>
        <v>150703.18000000005</v>
      </c>
      <c r="W140" s="147">
        <f>SUMIF($D$6:$D$133,"N",W$6:W$133)</f>
        <v>140170.41</v>
      </c>
      <c r="X140" s="147">
        <f>SUMIF($D$6:$D$133,"N",X$6:X$133)</f>
        <v>10532.769999999997</v>
      </c>
      <c r="Y140" s="144"/>
      <c r="Z140" s="147">
        <f>F140+J140</f>
        <v>94831.170000000013</v>
      </c>
      <c r="AA140" s="231"/>
      <c r="AB140" s="147">
        <f>SUMIF($D$6:$D$133,"N",AB$6:AB$133)</f>
        <v>862.21</v>
      </c>
      <c r="AC140" s="147">
        <f>SUMIF($D$6:$D$133,"N",AC$6:AC$133)</f>
        <v>811.71</v>
      </c>
      <c r="AD140" s="147">
        <f>SUMIF($D$6:$D$133,"N",AD$6:AD$133)</f>
        <v>50.5</v>
      </c>
      <c r="AE140" s="231"/>
      <c r="AF140" s="153">
        <f t="shared" si="6"/>
        <v>151565.39000000004</v>
      </c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565"/>
    </row>
    <row r="141" spans="1:49" s="134" customFormat="1" ht="15" customHeight="1" x14ac:dyDescent="0.2">
      <c r="A141" s="95"/>
      <c r="B141" s="95"/>
      <c r="C141" s="95"/>
      <c r="D141" s="234"/>
      <c r="E141" s="146"/>
      <c r="F141" s="151"/>
      <c r="G141" s="151"/>
      <c r="H141" s="151"/>
      <c r="J141" s="151"/>
      <c r="K141" s="151"/>
      <c r="L141" s="151"/>
      <c r="N141" s="151"/>
      <c r="O141" s="151"/>
      <c r="P141" s="151"/>
      <c r="R141" s="151"/>
      <c r="S141" s="151"/>
      <c r="T141" s="151"/>
      <c r="V141" s="151"/>
      <c r="W141" s="151"/>
      <c r="X141" s="151"/>
      <c r="Y141" s="144"/>
      <c r="Z141" s="151"/>
      <c r="AA141" s="231"/>
      <c r="AB141" s="151"/>
      <c r="AC141" s="151"/>
      <c r="AD141" s="151"/>
      <c r="AE141" s="231"/>
      <c r="AF141" s="153"/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565"/>
    </row>
    <row r="142" spans="1:49" s="134" customFormat="1" ht="15" customHeight="1" x14ac:dyDescent="0.2">
      <c r="A142" s="698" t="s">
        <v>7</v>
      </c>
      <c r="B142" s="699"/>
      <c r="C142" s="700"/>
      <c r="D142" s="135"/>
      <c r="F142" s="140">
        <v>570978.80999999994</v>
      </c>
      <c r="G142" s="140">
        <v>514105.45</v>
      </c>
      <c r="H142" s="140">
        <v>56873.359999999993</v>
      </c>
      <c r="I142" s="232"/>
      <c r="J142" s="140">
        <v>119860.97086029242</v>
      </c>
      <c r="K142" s="140">
        <v>119860.97086029242</v>
      </c>
      <c r="L142" s="140">
        <v>0</v>
      </c>
      <c r="M142" s="232"/>
      <c r="N142" s="140">
        <v>106002.22000000002</v>
      </c>
      <c r="O142" s="140">
        <v>102080.01</v>
      </c>
      <c r="P142" s="140">
        <v>3922.21</v>
      </c>
      <c r="Q142" s="232"/>
      <c r="R142" s="140">
        <v>18415.164000000001</v>
      </c>
      <c r="S142" s="140">
        <v>16921.174000000003</v>
      </c>
      <c r="T142" s="140">
        <v>1493.99</v>
      </c>
      <c r="V142" s="140">
        <v>815257.16486029292</v>
      </c>
      <c r="W142" s="140">
        <v>752967.60486029286</v>
      </c>
      <c r="X142" s="140">
        <v>62289.56</v>
      </c>
      <c r="Y142" s="144">
        <v>0.92359520077241597</v>
      </c>
      <c r="Z142" s="233">
        <v>690839.78086029238</v>
      </c>
      <c r="AA142" s="233"/>
      <c r="AB142" s="140">
        <v>3905.89</v>
      </c>
      <c r="AC142" s="140">
        <v>3895</v>
      </c>
      <c r="AD142" s="140">
        <v>7.59</v>
      </c>
      <c r="AE142" s="231"/>
      <c r="AF142" s="153">
        <v>819163.05486029293</v>
      </c>
      <c r="AG142" s="153"/>
      <c r="AH142" s="153"/>
      <c r="AI142" s="153"/>
      <c r="AJ142" s="153"/>
      <c r="AL142" s="153"/>
    </row>
    <row r="143" spans="1:49" s="134" customFormat="1" ht="11.25" x14ac:dyDescent="0.2">
      <c r="B143" s="232" t="s">
        <v>401</v>
      </c>
      <c r="D143" s="135"/>
      <c r="F143" s="138"/>
      <c r="G143" s="138"/>
      <c r="H143" s="137"/>
      <c r="J143" s="138"/>
      <c r="K143" s="138"/>
      <c r="L143" s="138"/>
      <c r="N143" s="138"/>
      <c r="O143" s="138"/>
      <c r="P143" s="138"/>
      <c r="R143" s="138"/>
      <c r="S143" s="138"/>
      <c r="T143" s="138"/>
      <c r="V143" s="30"/>
      <c r="W143" s="30"/>
      <c r="X143" s="30"/>
      <c r="Z143" s="146"/>
      <c r="AA143" s="231"/>
      <c r="AB143" s="138"/>
      <c r="AC143" s="138"/>
      <c r="AD143" s="138"/>
      <c r="AE143" s="231"/>
      <c r="AL143" s="153"/>
    </row>
    <row r="144" spans="1:49" s="134" customFormat="1" ht="15" customHeight="1" x14ac:dyDescent="0.2">
      <c r="A144" s="694" t="s">
        <v>8</v>
      </c>
      <c r="B144" s="694"/>
      <c r="C144" s="694"/>
      <c r="D144" s="147"/>
      <c r="E144" s="147">
        <f>SUMIF($D$6:$D$133,"S",E$6:E$133)</f>
        <v>0</v>
      </c>
      <c r="F144" s="147">
        <v>316824.65000000002</v>
      </c>
      <c r="G144" s="147">
        <v>285019.49000000011</v>
      </c>
      <c r="H144" s="147">
        <v>31805.159999999996</v>
      </c>
      <c r="J144" s="147">
        <v>48079.975735898101</v>
      </c>
      <c r="K144" s="147">
        <v>48079.975735898101</v>
      </c>
      <c r="L144" s="147">
        <v>0</v>
      </c>
      <c r="N144" s="147">
        <v>2982.1200000000003</v>
      </c>
      <c r="O144" s="147">
        <v>2964.11</v>
      </c>
      <c r="P144" s="147">
        <v>18.009999999999998</v>
      </c>
      <c r="R144" s="147">
        <v>11266.23</v>
      </c>
      <c r="S144" s="147">
        <v>9813.74</v>
      </c>
      <c r="T144" s="147">
        <v>1452.49</v>
      </c>
      <c r="V144" s="147">
        <v>379152.97573589813</v>
      </c>
      <c r="W144" s="147">
        <v>345877.31573589804</v>
      </c>
      <c r="X144" s="147">
        <v>33275.659999999996</v>
      </c>
      <c r="Y144" s="144"/>
      <c r="Z144" s="147">
        <v>364904.62573589815</v>
      </c>
      <c r="AA144" s="231"/>
      <c r="AB144" s="147">
        <v>122.37</v>
      </c>
      <c r="AC144" s="147">
        <v>121</v>
      </c>
      <c r="AD144" s="147">
        <v>0</v>
      </c>
      <c r="AE144" s="231"/>
      <c r="AF144" s="134">
        <v>379275.34573589812</v>
      </c>
      <c r="AG144" s="153"/>
      <c r="AH144" s="153"/>
      <c r="AI144" s="153"/>
      <c r="AJ144" s="153"/>
      <c r="AL144" s="153"/>
    </row>
    <row r="145" spans="1:47" s="134" customFormat="1" ht="15" customHeight="1" x14ac:dyDescent="0.2">
      <c r="A145" s="694" t="s">
        <v>9</v>
      </c>
      <c r="B145" s="694"/>
      <c r="C145" s="694"/>
      <c r="D145" s="234"/>
      <c r="E145" s="146"/>
      <c r="F145" s="147">
        <v>121172.63</v>
      </c>
      <c r="G145" s="147">
        <v>111758.20000000001</v>
      </c>
      <c r="H145" s="147">
        <v>9414.4299999999985</v>
      </c>
      <c r="J145" s="147">
        <v>28144.899881302801</v>
      </c>
      <c r="K145" s="147">
        <v>28144.899881302801</v>
      </c>
      <c r="L145" s="147">
        <v>0</v>
      </c>
      <c r="N145" s="147">
        <v>20251.3</v>
      </c>
      <c r="O145" s="147">
        <v>20147.7</v>
      </c>
      <c r="P145" s="147">
        <v>103.6</v>
      </c>
      <c r="R145" s="147">
        <v>4578.3040000000001</v>
      </c>
      <c r="S145" s="147">
        <v>4578.3040000000001</v>
      </c>
      <c r="T145" s="147">
        <v>0</v>
      </c>
      <c r="V145" s="147">
        <v>174147.13388130278</v>
      </c>
      <c r="W145" s="147">
        <v>164629.10388130278</v>
      </c>
      <c r="X145" s="147">
        <v>9518.0299999999988</v>
      </c>
      <c r="Y145" s="144"/>
      <c r="Z145" s="147">
        <v>149317.52988130279</v>
      </c>
      <c r="AA145" s="231"/>
      <c r="AB145" s="147">
        <v>4</v>
      </c>
      <c r="AC145" s="147">
        <v>3</v>
      </c>
      <c r="AD145" s="147">
        <v>1</v>
      </c>
      <c r="AE145" s="231"/>
      <c r="AF145" s="134">
        <v>174151.13388130278</v>
      </c>
      <c r="AG145" s="153"/>
      <c r="AH145" s="153"/>
      <c r="AI145" s="153"/>
      <c r="AJ145" s="153"/>
      <c r="AL145" s="153"/>
    </row>
    <row r="146" spans="1:47" s="134" customFormat="1" ht="15" customHeight="1" x14ac:dyDescent="0.2">
      <c r="A146" s="694" t="s">
        <v>10</v>
      </c>
      <c r="B146" s="694"/>
      <c r="C146" s="694"/>
      <c r="D146" s="234"/>
      <c r="E146" s="146"/>
      <c r="F146" s="147">
        <v>70208.39</v>
      </c>
      <c r="G146" s="147">
        <v>61101.950000000004</v>
      </c>
      <c r="H146" s="147">
        <v>9106.4399999999987</v>
      </c>
      <c r="J146" s="147">
        <v>18188.146489860832</v>
      </c>
      <c r="K146" s="147">
        <v>18188.146489860832</v>
      </c>
      <c r="L146" s="147">
        <v>0</v>
      </c>
      <c r="N146" s="147">
        <v>18785.399999999998</v>
      </c>
      <c r="O146" s="147">
        <v>18408.399999999998</v>
      </c>
      <c r="P146" s="147">
        <v>377</v>
      </c>
      <c r="R146" s="147">
        <v>1390.3400000000001</v>
      </c>
      <c r="S146" s="147">
        <v>1390.3400000000001</v>
      </c>
      <c r="T146" s="147">
        <v>0</v>
      </c>
      <c r="V146" s="147">
        <v>108572.27648986081</v>
      </c>
      <c r="W146" s="147">
        <v>99088.836489860842</v>
      </c>
      <c r="X146" s="147">
        <v>9483.44</v>
      </c>
      <c r="Y146" s="144"/>
      <c r="Z146" s="147">
        <v>88396.536489860824</v>
      </c>
      <c r="AA146" s="231"/>
      <c r="AB146" s="147">
        <v>3485.12</v>
      </c>
      <c r="AC146" s="147">
        <v>3484</v>
      </c>
      <c r="AD146" s="147">
        <v>0</v>
      </c>
      <c r="AE146" s="231"/>
      <c r="AF146" s="134">
        <v>112057.39648986081</v>
      </c>
      <c r="AH146" s="153"/>
      <c r="AI146" s="153"/>
      <c r="AJ146" s="153"/>
      <c r="AL146" s="153"/>
    </row>
    <row r="147" spans="1:47" s="134" customFormat="1" ht="15" customHeight="1" x14ac:dyDescent="0.2">
      <c r="A147" s="694" t="s">
        <v>11</v>
      </c>
      <c r="B147" s="694"/>
      <c r="C147" s="694"/>
      <c r="D147" s="234"/>
      <c r="E147" s="146"/>
      <c r="F147" s="147">
        <v>62773.140000000014</v>
      </c>
      <c r="G147" s="147">
        <v>56225.810000000027</v>
      </c>
      <c r="H147" s="147">
        <v>6547.329999999999</v>
      </c>
      <c r="J147" s="147">
        <v>25447.94875323067</v>
      </c>
      <c r="K147" s="147">
        <v>25447.94875323067</v>
      </c>
      <c r="L147" s="147">
        <v>0</v>
      </c>
      <c r="N147" s="147">
        <v>63983.399999999994</v>
      </c>
      <c r="O147" s="147">
        <v>60559.799999999988</v>
      </c>
      <c r="P147" s="147">
        <v>3423.6000000000004</v>
      </c>
      <c r="R147" s="147">
        <v>1180.2900000000002</v>
      </c>
      <c r="S147" s="147">
        <v>1138.7900000000002</v>
      </c>
      <c r="T147" s="147">
        <v>41.5</v>
      </c>
      <c r="V147" s="147">
        <v>153384.77875323064</v>
      </c>
      <c r="W147" s="147">
        <v>143372.34875323065</v>
      </c>
      <c r="X147" s="147">
        <v>10012.43</v>
      </c>
      <c r="Y147" s="144"/>
      <c r="Z147" s="147">
        <v>88221.088753230681</v>
      </c>
      <c r="AA147" s="231"/>
      <c r="AB147" s="147">
        <v>294.39999999999998</v>
      </c>
      <c r="AC147" s="147">
        <v>287</v>
      </c>
      <c r="AD147" s="147">
        <v>6.59</v>
      </c>
      <c r="AE147" s="231"/>
      <c r="AF147" s="134">
        <v>153679.17875323063</v>
      </c>
      <c r="AH147" s="153"/>
      <c r="AI147" s="153"/>
      <c r="AJ147" s="153"/>
      <c r="AL147" s="153"/>
    </row>
    <row r="148" spans="1:47" s="134" customFormat="1" ht="15" customHeight="1" x14ac:dyDescent="0.2">
      <c r="A148" s="95"/>
      <c r="B148" s="95"/>
      <c r="C148" s="95"/>
      <c r="D148" s="234"/>
      <c r="E148" s="146"/>
      <c r="F148" s="151"/>
      <c r="G148" s="151"/>
      <c r="H148" s="151"/>
      <c r="I148" s="151"/>
      <c r="J148" s="151"/>
      <c r="K148" s="151"/>
      <c r="L148" s="151"/>
      <c r="N148" s="151"/>
      <c r="O148" s="151"/>
      <c r="P148" s="151"/>
      <c r="R148" s="151"/>
      <c r="S148" s="151"/>
      <c r="T148" s="151"/>
      <c r="V148" s="151"/>
      <c r="W148" s="151"/>
      <c r="X148" s="151"/>
      <c r="Y148" s="144"/>
      <c r="Z148" s="153"/>
      <c r="AA148" s="231"/>
      <c r="AB148" s="153"/>
      <c r="AC148" s="153"/>
      <c r="AD148" s="153"/>
      <c r="AE148" s="231"/>
      <c r="AH148" s="153"/>
      <c r="AI148" s="153"/>
      <c r="AJ148" s="153"/>
    </row>
    <row r="149" spans="1:47" s="134" customFormat="1" ht="15" customHeight="1" x14ac:dyDescent="0.2">
      <c r="A149" s="95"/>
      <c r="B149" s="95"/>
      <c r="C149" s="95"/>
      <c r="D149" s="234"/>
      <c r="E149" s="146"/>
      <c r="F149" s="151"/>
      <c r="G149" s="151"/>
      <c r="H149" s="151"/>
      <c r="J149" s="151"/>
      <c r="K149" s="151"/>
      <c r="L149" s="151"/>
      <c r="N149" s="151"/>
      <c r="O149" s="151"/>
      <c r="P149" s="151"/>
      <c r="R149" s="151"/>
      <c r="S149" s="151"/>
      <c r="T149" s="151"/>
      <c r="V149" s="151"/>
      <c r="W149" s="151"/>
      <c r="X149" s="151"/>
      <c r="Y149" s="144"/>
      <c r="Z149" s="151"/>
      <c r="AA149" s="231"/>
      <c r="AB149" s="151"/>
      <c r="AC149" s="151"/>
      <c r="AD149" s="151"/>
      <c r="AE149" s="231"/>
      <c r="AF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565"/>
    </row>
    <row r="150" spans="1:47" s="134" customFormat="1" ht="15" customHeight="1" x14ac:dyDescent="0.2">
      <c r="A150" s="698" t="s">
        <v>7</v>
      </c>
      <c r="B150" s="699"/>
      <c r="C150" s="700"/>
      <c r="D150" s="135"/>
      <c r="F150" s="140">
        <v>563595.23000000021</v>
      </c>
      <c r="G150" s="140">
        <v>499049.2199999998</v>
      </c>
      <c r="H150" s="140">
        <v>64546.01</v>
      </c>
      <c r="I150" s="232"/>
      <c r="J150" s="140">
        <v>136067.03061781358</v>
      </c>
      <c r="K150" s="140">
        <v>136067.03061781358</v>
      </c>
      <c r="L150" s="140">
        <v>0</v>
      </c>
      <c r="M150" s="232"/>
      <c r="N150" s="140">
        <v>107773.55999999998</v>
      </c>
      <c r="O150" s="140">
        <v>103998.36999999997</v>
      </c>
      <c r="P150" s="140">
        <v>3775.1899999999996</v>
      </c>
      <c r="Q150" s="232"/>
      <c r="R150" s="140">
        <v>20523.82</v>
      </c>
      <c r="S150" s="140">
        <v>20108.709999999995</v>
      </c>
      <c r="T150" s="140">
        <v>415.11</v>
      </c>
      <c r="V150" s="140">
        <v>827959.64061781368</v>
      </c>
      <c r="W150" s="140">
        <v>759223.33061781363</v>
      </c>
      <c r="X150" s="140">
        <v>68736.31</v>
      </c>
      <c r="Y150" s="144">
        <v>0.91698108624146235</v>
      </c>
      <c r="Z150" s="233">
        <v>699662.26061781379</v>
      </c>
      <c r="AA150" s="233"/>
      <c r="AB150" s="140">
        <v>4571.87</v>
      </c>
      <c r="AC150" s="140">
        <v>4567</v>
      </c>
      <c r="AD150" s="140">
        <v>3.23</v>
      </c>
      <c r="AE150" s="231"/>
      <c r="AF150" s="153">
        <v>832531.51061781368</v>
      </c>
      <c r="AH150" s="153"/>
      <c r="AI150" s="153"/>
      <c r="AJ150" s="153"/>
      <c r="AL150" s="153"/>
    </row>
    <row r="151" spans="1:47" s="134" customFormat="1" ht="11.25" x14ac:dyDescent="0.2">
      <c r="B151" s="232" t="s">
        <v>174</v>
      </c>
      <c r="D151" s="135"/>
      <c r="F151" s="138"/>
      <c r="G151" s="138"/>
      <c r="H151" s="137"/>
      <c r="J151" s="138"/>
      <c r="K151" s="138"/>
      <c r="L151" s="138"/>
      <c r="N151" s="138"/>
      <c r="O151" s="138"/>
      <c r="P151" s="138"/>
      <c r="R151" s="138"/>
      <c r="S151" s="138"/>
      <c r="T151" s="138"/>
      <c r="V151" s="30"/>
      <c r="W151" s="30"/>
      <c r="X151" s="30"/>
      <c r="Z151" s="146"/>
      <c r="AA151" s="231"/>
      <c r="AB151" s="138"/>
      <c r="AC151" s="138"/>
      <c r="AD151" s="138"/>
      <c r="AE151" s="231"/>
      <c r="AL151" s="153"/>
    </row>
    <row r="152" spans="1:47" s="134" customFormat="1" ht="15" customHeight="1" x14ac:dyDescent="0.2">
      <c r="A152" s="694" t="s">
        <v>8</v>
      </c>
      <c r="B152" s="694"/>
      <c r="C152" s="694"/>
      <c r="D152" s="147"/>
      <c r="E152" s="147">
        <f>SUMIF($D$6:$D$133,"S",E$6:E$133)</f>
        <v>0</v>
      </c>
      <c r="F152" s="147">
        <v>307935.63999999996</v>
      </c>
      <c r="G152" s="147">
        <v>273100.02</v>
      </c>
      <c r="H152" s="147">
        <v>34835.619999999988</v>
      </c>
      <c r="J152" s="147">
        <v>56160.378310796419</v>
      </c>
      <c r="K152" s="147">
        <v>56160.378310796419</v>
      </c>
      <c r="L152" s="147">
        <v>0</v>
      </c>
      <c r="N152" s="147">
        <v>3251.07</v>
      </c>
      <c r="O152" s="147">
        <v>3100.1600000000008</v>
      </c>
      <c r="P152" s="147">
        <v>150.91</v>
      </c>
      <c r="R152" s="147">
        <v>13747.43</v>
      </c>
      <c r="S152" s="147">
        <v>13383.17</v>
      </c>
      <c r="T152" s="147">
        <v>364.26</v>
      </c>
      <c r="V152" s="147">
        <v>381094.51831079641</v>
      </c>
      <c r="W152" s="147">
        <v>345743.72831079649</v>
      </c>
      <c r="X152" s="147">
        <v>35350.789999999994</v>
      </c>
      <c r="Y152" s="144"/>
      <c r="Z152" s="147">
        <v>364096.01831079635</v>
      </c>
      <c r="AA152" s="231"/>
      <c r="AB152" s="147">
        <v>0.35</v>
      </c>
      <c r="AC152" s="147">
        <v>0</v>
      </c>
      <c r="AD152" s="147">
        <v>0</v>
      </c>
      <c r="AE152" s="231"/>
      <c r="AF152" s="134">
        <v>381094.86831079639</v>
      </c>
      <c r="AG152" s="153"/>
      <c r="AH152" s="153"/>
      <c r="AI152" s="153"/>
      <c r="AJ152" s="153"/>
      <c r="AL152" s="153"/>
    </row>
    <row r="153" spans="1:47" s="134" customFormat="1" ht="15" customHeight="1" x14ac:dyDescent="0.2">
      <c r="A153" s="694" t="s">
        <v>9</v>
      </c>
      <c r="B153" s="694"/>
      <c r="C153" s="694"/>
      <c r="D153" s="234"/>
      <c r="E153" s="146"/>
      <c r="F153" s="147">
        <v>117830.15</v>
      </c>
      <c r="G153" s="147">
        <v>104017.19000000002</v>
      </c>
      <c r="H153" s="147">
        <v>13812.960000000001</v>
      </c>
      <c r="J153" s="147">
        <v>31802.264147798753</v>
      </c>
      <c r="K153" s="147">
        <v>31802.264147798753</v>
      </c>
      <c r="L153" s="147">
        <v>0</v>
      </c>
      <c r="N153" s="147">
        <v>22543.53</v>
      </c>
      <c r="O153" s="147">
        <v>22514.640000000003</v>
      </c>
      <c r="P153" s="147">
        <v>28.889999999999997</v>
      </c>
      <c r="R153" s="147">
        <v>3594.81</v>
      </c>
      <c r="S153" s="147">
        <v>3592.46</v>
      </c>
      <c r="T153" s="147">
        <v>2.35</v>
      </c>
      <c r="V153" s="147">
        <v>175770.75414779875</v>
      </c>
      <c r="W153" s="147">
        <v>161926.55414779874</v>
      </c>
      <c r="X153" s="147">
        <v>13844.2</v>
      </c>
      <c r="Y153" s="144"/>
      <c r="Z153" s="147">
        <v>149632.41414779876</v>
      </c>
      <c r="AA153" s="231"/>
      <c r="AB153" s="147">
        <v>100.99</v>
      </c>
      <c r="AC153" s="147">
        <v>98</v>
      </c>
      <c r="AD153" s="147">
        <v>2.73</v>
      </c>
      <c r="AE153" s="231"/>
      <c r="AF153" s="134">
        <v>175871.74414779874</v>
      </c>
      <c r="AG153" s="153"/>
      <c r="AH153" s="153"/>
      <c r="AI153" s="153"/>
      <c r="AJ153" s="153"/>
      <c r="AL153" s="153"/>
    </row>
    <row r="154" spans="1:47" s="134" customFormat="1" ht="15" customHeight="1" x14ac:dyDescent="0.2">
      <c r="A154" s="694" t="s">
        <v>10</v>
      </c>
      <c r="B154" s="694"/>
      <c r="C154" s="694"/>
      <c r="D154" s="234"/>
      <c r="E154" s="146"/>
      <c r="F154" s="147">
        <v>70102.340000000011</v>
      </c>
      <c r="G154" s="147">
        <v>62184.360000000015</v>
      </c>
      <c r="H154" s="147">
        <v>7917.98</v>
      </c>
      <c r="J154" s="147">
        <v>20354.306064096185</v>
      </c>
      <c r="K154" s="147">
        <v>20354.306064096185</v>
      </c>
      <c r="L154" s="147">
        <v>0</v>
      </c>
      <c r="N154" s="147">
        <v>24038.21</v>
      </c>
      <c r="O154" s="147">
        <v>23966.05</v>
      </c>
      <c r="P154" s="147">
        <v>72.16</v>
      </c>
      <c r="R154" s="147">
        <v>1661.85</v>
      </c>
      <c r="S154" s="147">
        <v>1661.85</v>
      </c>
      <c r="T154" s="147">
        <v>0</v>
      </c>
      <c r="V154" s="147">
        <v>116156.70606409617</v>
      </c>
      <c r="W154" s="147">
        <v>108166.56606409616</v>
      </c>
      <c r="X154" s="147">
        <v>7990.1400000000012</v>
      </c>
      <c r="Y154" s="144"/>
      <c r="Z154" s="147">
        <v>90456.646064096189</v>
      </c>
      <c r="AA154" s="231"/>
      <c r="AB154" s="147">
        <v>21</v>
      </c>
      <c r="AC154" s="147">
        <v>21</v>
      </c>
      <c r="AD154" s="147">
        <v>0</v>
      </c>
      <c r="AE154" s="231"/>
      <c r="AF154" s="134">
        <v>116177.70606409617</v>
      </c>
      <c r="AH154" s="153"/>
      <c r="AI154" s="153"/>
      <c r="AJ154" s="153"/>
      <c r="AL154" s="153"/>
    </row>
    <row r="155" spans="1:47" s="134" customFormat="1" ht="15" customHeight="1" x14ac:dyDescent="0.2">
      <c r="A155" s="694" t="s">
        <v>11</v>
      </c>
      <c r="B155" s="694"/>
      <c r="C155" s="694"/>
      <c r="D155" s="234"/>
      <c r="E155" s="146"/>
      <c r="F155" s="147">
        <v>67727.099999999991</v>
      </c>
      <c r="G155" s="147">
        <v>59747.649999999987</v>
      </c>
      <c r="H155" s="147">
        <v>7979.4500000000016</v>
      </c>
      <c r="J155" s="147">
        <v>27750.082095122234</v>
      </c>
      <c r="K155" s="147">
        <v>27750.082095122234</v>
      </c>
      <c r="L155" s="147">
        <v>0</v>
      </c>
      <c r="N155" s="147">
        <v>57940.75</v>
      </c>
      <c r="O155" s="147">
        <v>54417.51999999999</v>
      </c>
      <c r="P155" s="147">
        <v>3523.2299999999996</v>
      </c>
      <c r="R155" s="147">
        <v>1519.7299999999998</v>
      </c>
      <c r="S155" s="147">
        <v>1471.23</v>
      </c>
      <c r="T155" s="147">
        <v>48.5</v>
      </c>
      <c r="V155" s="147">
        <v>154937.66209512227</v>
      </c>
      <c r="W155" s="147">
        <v>143386.48209512228</v>
      </c>
      <c r="X155" s="147">
        <v>11551.18</v>
      </c>
      <c r="Y155" s="144"/>
      <c r="Z155" s="147">
        <v>95477.182095122233</v>
      </c>
      <c r="AA155" s="231"/>
      <c r="AB155" s="147">
        <v>4449.53</v>
      </c>
      <c r="AC155" s="147">
        <v>4448</v>
      </c>
      <c r="AD155" s="147">
        <v>0.5</v>
      </c>
      <c r="AE155" s="231"/>
      <c r="AF155" s="134">
        <v>159387.19209512227</v>
      </c>
      <c r="AH155" s="153"/>
      <c r="AI155" s="153"/>
      <c r="AJ155" s="153"/>
      <c r="AL155" s="153"/>
    </row>
    <row r="156" spans="1:47" s="134" customFormat="1" ht="15" customHeight="1" x14ac:dyDescent="0.2">
      <c r="A156" s="95"/>
      <c r="B156" s="95"/>
      <c r="C156" s="95"/>
      <c r="D156" s="234"/>
      <c r="E156" s="146"/>
      <c r="F156" s="151"/>
      <c r="G156" s="151"/>
      <c r="H156" s="151"/>
      <c r="I156" s="151"/>
      <c r="J156" s="151"/>
      <c r="K156" s="151"/>
      <c r="L156" s="151"/>
      <c r="N156" s="151"/>
      <c r="O156" s="151"/>
      <c r="P156" s="151"/>
      <c r="R156" s="151"/>
      <c r="S156" s="151"/>
      <c r="T156" s="151"/>
      <c r="V156" s="151"/>
      <c r="W156" s="151"/>
      <c r="X156" s="151"/>
      <c r="Y156" s="144"/>
      <c r="Z156" s="153"/>
      <c r="AA156" s="231"/>
      <c r="AB156" s="153"/>
      <c r="AC156" s="153"/>
      <c r="AD156" s="153"/>
      <c r="AE156" s="231"/>
      <c r="AH156" s="153"/>
      <c r="AI156" s="153"/>
      <c r="AJ156" s="153"/>
    </row>
    <row r="157" spans="1:47" s="134" customFormat="1" ht="15" customHeight="1" x14ac:dyDescent="0.2">
      <c r="A157" s="95"/>
      <c r="B157" s="95"/>
      <c r="C157" s="95"/>
      <c r="D157" s="234"/>
      <c r="E157" s="146"/>
      <c r="F157" s="151"/>
      <c r="G157" s="151"/>
      <c r="H157" s="151"/>
      <c r="J157" s="151"/>
      <c r="K157" s="151"/>
      <c r="L157" s="151"/>
      <c r="N157" s="151"/>
      <c r="O157" s="151"/>
      <c r="P157" s="151"/>
      <c r="R157" s="151"/>
      <c r="S157" s="151"/>
      <c r="T157" s="151"/>
      <c r="V157" s="151"/>
      <c r="W157" s="151"/>
      <c r="X157" s="151"/>
      <c r="Y157" s="144"/>
      <c r="Z157" s="151"/>
      <c r="AA157" s="231"/>
      <c r="AB157" s="151"/>
      <c r="AC157" s="151"/>
      <c r="AD157" s="151"/>
      <c r="AE157" s="231"/>
      <c r="AH157" s="153"/>
      <c r="AI157" s="153"/>
      <c r="AJ157" s="153"/>
      <c r="AL157" s="153"/>
    </row>
    <row r="158" spans="1:47" s="134" customFormat="1" ht="15" customHeight="1" x14ac:dyDescent="0.2">
      <c r="A158" s="95"/>
      <c r="B158" s="95"/>
      <c r="C158" s="95"/>
      <c r="D158" s="234"/>
      <c r="E158" s="146"/>
      <c r="F158" s="151"/>
      <c r="G158" s="151"/>
      <c r="H158" s="151"/>
      <c r="J158" s="151"/>
      <c r="K158" s="151"/>
      <c r="L158" s="151"/>
      <c r="N158" s="151"/>
      <c r="O158" s="151"/>
      <c r="P158" s="151"/>
      <c r="R158" s="151"/>
      <c r="S158" s="151"/>
      <c r="T158" s="151"/>
      <c r="V158" s="151"/>
      <c r="W158" s="151"/>
      <c r="X158" s="151"/>
      <c r="Y158" s="144"/>
      <c r="Z158" s="151"/>
      <c r="AA158" s="231"/>
      <c r="AB158" s="151"/>
      <c r="AC158" s="151"/>
      <c r="AD158" s="151"/>
      <c r="AE158" s="231"/>
      <c r="AH158" s="153"/>
      <c r="AI158" s="153"/>
      <c r="AJ158" s="153"/>
      <c r="AL158" s="153"/>
    </row>
    <row r="159" spans="1:47" s="134" customFormat="1" ht="15" customHeight="1" x14ac:dyDescent="0.2">
      <c r="A159" s="698" t="s">
        <v>7</v>
      </c>
      <c r="B159" s="699"/>
      <c r="C159" s="700"/>
      <c r="D159" s="135"/>
      <c r="F159" s="140">
        <v>564248.62</v>
      </c>
      <c r="G159" s="140">
        <v>510886.98999999993</v>
      </c>
      <c r="H159" s="140">
        <v>53361.630000000005</v>
      </c>
      <c r="I159" s="232"/>
      <c r="J159" s="140">
        <v>119353.46022253214</v>
      </c>
      <c r="K159" s="140">
        <v>119353.46022253214</v>
      </c>
      <c r="L159" s="140">
        <v>0</v>
      </c>
      <c r="M159" s="232"/>
      <c r="N159" s="140">
        <v>91876.169999999984</v>
      </c>
      <c r="O159" s="140">
        <v>91058.529999999984</v>
      </c>
      <c r="P159" s="140">
        <v>817.64</v>
      </c>
      <c r="Q159" s="232"/>
      <c r="R159" s="140">
        <v>20982.589999999997</v>
      </c>
      <c r="S159" s="140">
        <v>17370.169999999998</v>
      </c>
      <c r="T159" s="140">
        <v>3612.42</v>
      </c>
      <c r="V159" s="140">
        <v>796460.84022253216</v>
      </c>
      <c r="W159" s="140">
        <v>738669.15022253233</v>
      </c>
      <c r="X159" s="140">
        <v>57791.69000000001</v>
      </c>
      <c r="Y159" s="144">
        <v>0.92743938297851181</v>
      </c>
      <c r="Z159" s="233">
        <v>683602.08022253215</v>
      </c>
      <c r="AA159" s="233"/>
      <c r="AB159" s="140">
        <v>4026.0600000000004</v>
      </c>
      <c r="AC159" s="140">
        <v>4019.94</v>
      </c>
      <c r="AD159" s="140">
        <v>6.1199999999999442</v>
      </c>
      <c r="AE159" s="231"/>
      <c r="AF159" s="153">
        <f>V159+AB159</f>
        <v>800486.90022253222</v>
      </c>
      <c r="AH159" s="153"/>
      <c r="AI159" s="153"/>
      <c r="AJ159" s="153"/>
      <c r="AL159" s="153"/>
    </row>
    <row r="160" spans="1:47" s="134" customFormat="1" ht="11.25" x14ac:dyDescent="0.2">
      <c r="B160" s="232" t="s">
        <v>224</v>
      </c>
      <c r="D160" s="135"/>
      <c r="F160" s="138"/>
      <c r="G160" s="138"/>
      <c r="H160" s="137"/>
      <c r="J160" s="138"/>
      <c r="K160" s="138"/>
      <c r="L160" s="138"/>
      <c r="N160" s="138"/>
      <c r="O160" s="138"/>
      <c r="P160" s="138"/>
      <c r="R160" s="138"/>
      <c r="S160" s="138"/>
      <c r="T160" s="138"/>
      <c r="V160" s="30"/>
      <c r="W160" s="30"/>
      <c r="X160" s="30"/>
      <c r="Z160" s="146"/>
      <c r="AA160" s="231"/>
      <c r="AB160" s="138"/>
      <c r="AC160" s="138"/>
      <c r="AD160" s="138"/>
      <c r="AE160" s="231"/>
      <c r="AL160" s="153"/>
    </row>
    <row r="161" spans="1:38" s="134" customFormat="1" ht="15" customHeight="1" x14ac:dyDescent="0.2">
      <c r="A161" s="694" t="s">
        <v>8</v>
      </c>
      <c r="B161" s="694"/>
      <c r="C161" s="694"/>
      <c r="D161" s="147"/>
      <c r="E161" s="147">
        <f>SUMIF($D$6:$D$133,"S",E$6:E$133)</f>
        <v>0</v>
      </c>
      <c r="F161" s="147">
        <v>312930.09000000003</v>
      </c>
      <c r="G161" s="147">
        <v>283301.7</v>
      </c>
      <c r="H161" s="147">
        <v>29628.390000000003</v>
      </c>
      <c r="J161" s="147">
        <v>48514.123946724852</v>
      </c>
      <c r="K161" s="147">
        <v>48514.123946724852</v>
      </c>
      <c r="L161" s="147">
        <v>0</v>
      </c>
      <c r="N161" s="147">
        <v>3039.04</v>
      </c>
      <c r="O161" s="147">
        <v>3029.5099999999998</v>
      </c>
      <c r="P161" s="147">
        <v>9.5300000000000011</v>
      </c>
      <c r="R161" s="147">
        <v>14349.020000000002</v>
      </c>
      <c r="S161" s="147">
        <v>10790.6</v>
      </c>
      <c r="T161" s="147">
        <v>3558.42</v>
      </c>
      <c r="V161" s="147">
        <v>378832.27394672483</v>
      </c>
      <c r="W161" s="147">
        <v>345635.93394672481</v>
      </c>
      <c r="X161" s="147">
        <v>33196.339999999997</v>
      </c>
      <c r="Y161" s="144"/>
      <c r="Z161" s="147">
        <v>361444.21394672489</v>
      </c>
      <c r="AA161" s="231"/>
      <c r="AB161" s="147">
        <v>160.74</v>
      </c>
      <c r="AC161" s="147">
        <v>160.74</v>
      </c>
      <c r="AD161" s="147">
        <v>0</v>
      </c>
      <c r="AE161" s="231"/>
      <c r="AG161" s="153"/>
      <c r="AH161" s="153"/>
      <c r="AI161" s="153"/>
      <c r="AJ161" s="153"/>
      <c r="AL161" s="153"/>
    </row>
    <row r="162" spans="1:38" s="134" customFormat="1" ht="15" customHeight="1" x14ac:dyDescent="0.2">
      <c r="A162" s="694" t="s">
        <v>9</v>
      </c>
      <c r="B162" s="694"/>
      <c r="C162" s="694"/>
      <c r="D162" s="234"/>
      <c r="E162" s="146"/>
      <c r="F162" s="147">
        <v>118290.47999999998</v>
      </c>
      <c r="G162" s="147">
        <v>108029.3</v>
      </c>
      <c r="H162" s="147">
        <v>10261.18</v>
      </c>
      <c r="J162" s="147">
        <v>28406.404064463808</v>
      </c>
      <c r="K162" s="147">
        <v>28406.404064463808</v>
      </c>
      <c r="L162" s="147">
        <v>0</v>
      </c>
      <c r="N162" s="147">
        <v>21516.31</v>
      </c>
      <c r="O162" s="147">
        <v>21499.31</v>
      </c>
      <c r="P162" s="147">
        <v>17</v>
      </c>
      <c r="R162" s="147">
        <v>3941.72</v>
      </c>
      <c r="S162" s="147">
        <v>3939.72</v>
      </c>
      <c r="T162" s="147">
        <v>2</v>
      </c>
      <c r="V162" s="147">
        <v>172154.91406446381</v>
      </c>
      <c r="W162" s="147">
        <v>161874.73406446379</v>
      </c>
      <c r="X162" s="147">
        <v>10280.18</v>
      </c>
      <c r="Y162" s="144"/>
      <c r="Z162" s="147">
        <v>146696.88406446378</v>
      </c>
      <c r="AA162" s="231"/>
      <c r="AB162" s="147">
        <v>112.36</v>
      </c>
      <c r="AC162" s="147">
        <v>109.36</v>
      </c>
      <c r="AD162" s="147">
        <v>3</v>
      </c>
      <c r="AE162" s="231"/>
      <c r="AG162" s="153"/>
      <c r="AH162" s="153"/>
      <c r="AI162" s="153"/>
      <c r="AJ162" s="153"/>
      <c r="AL162" s="153"/>
    </row>
    <row r="163" spans="1:38" s="134" customFormat="1" ht="15" customHeight="1" x14ac:dyDescent="0.2">
      <c r="A163" s="694" t="s">
        <v>10</v>
      </c>
      <c r="B163" s="694"/>
      <c r="C163" s="694"/>
      <c r="D163" s="234"/>
      <c r="E163" s="146"/>
      <c r="F163" s="147">
        <v>71210.339999999982</v>
      </c>
      <c r="G163" s="147">
        <v>64054.52</v>
      </c>
      <c r="H163" s="147">
        <v>7155.82</v>
      </c>
      <c r="J163" s="147">
        <v>18120.533800456848</v>
      </c>
      <c r="K163" s="147">
        <v>18120.533800456848</v>
      </c>
      <c r="L163" s="147">
        <v>0</v>
      </c>
      <c r="N163" s="147">
        <v>25011.319999999992</v>
      </c>
      <c r="O163" s="147">
        <v>24992.44999999999</v>
      </c>
      <c r="P163" s="147">
        <v>18.869999999999997</v>
      </c>
      <c r="R163" s="147">
        <v>1694.98</v>
      </c>
      <c r="S163" s="147">
        <v>1643.98</v>
      </c>
      <c r="T163" s="147">
        <v>51</v>
      </c>
      <c r="V163" s="147">
        <v>116037.17380045686</v>
      </c>
      <c r="W163" s="147">
        <v>108811.48380045687</v>
      </c>
      <c r="X163" s="147">
        <v>7225.69</v>
      </c>
      <c r="Y163" s="144"/>
      <c r="Z163" s="147">
        <v>89330.873800456829</v>
      </c>
      <c r="AA163" s="231"/>
      <c r="AB163" s="147">
        <v>24.18</v>
      </c>
      <c r="AC163" s="147">
        <v>23.84</v>
      </c>
      <c r="AD163" s="147">
        <v>0.33999999999999986</v>
      </c>
      <c r="AE163" s="231"/>
      <c r="AH163" s="153"/>
      <c r="AI163" s="153"/>
      <c r="AJ163" s="153"/>
      <c r="AL163" s="153"/>
    </row>
    <row r="164" spans="1:38" s="134" customFormat="1" ht="15" customHeight="1" x14ac:dyDescent="0.2">
      <c r="A164" s="694" t="s">
        <v>11</v>
      </c>
      <c r="B164" s="694"/>
      <c r="C164" s="694"/>
      <c r="D164" s="234"/>
      <c r="E164" s="146"/>
      <c r="F164" s="147">
        <v>61817.71</v>
      </c>
      <c r="G164" s="147">
        <v>55501.470000000016</v>
      </c>
      <c r="H164" s="147">
        <v>6316.2400000000025</v>
      </c>
      <c r="J164" s="147">
        <v>24312.39841088669</v>
      </c>
      <c r="K164" s="147">
        <v>24312.39841088669</v>
      </c>
      <c r="L164" s="147">
        <v>0</v>
      </c>
      <c r="N164" s="147">
        <v>42309.5</v>
      </c>
      <c r="O164" s="147">
        <v>41537.26</v>
      </c>
      <c r="P164" s="147">
        <v>772.24</v>
      </c>
      <c r="R164" s="147">
        <v>996.87</v>
      </c>
      <c r="S164" s="147">
        <v>995.87</v>
      </c>
      <c r="T164" s="147">
        <v>1</v>
      </c>
      <c r="V164" s="147">
        <v>129436.47841088666</v>
      </c>
      <c r="W164" s="147">
        <v>122346.99841088668</v>
      </c>
      <c r="X164" s="147">
        <v>7089.4800000000014</v>
      </c>
      <c r="Y164" s="144"/>
      <c r="Z164" s="147">
        <v>86130.108410886693</v>
      </c>
      <c r="AA164" s="231"/>
      <c r="AB164" s="147">
        <v>3728.78</v>
      </c>
      <c r="AC164" s="147">
        <v>3726</v>
      </c>
      <c r="AD164" s="147">
        <v>2.7799999999999443</v>
      </c>
      <c r="AE164" s="231"/>
      <c r="AH164" s="153"/>
      <c r="AI164" s="153"/>
      <c r="AJ164" s="153"/>
      <c r="AL164" s="153"/>
    </row>
    <row r="165" spans="1:38" s="134" customFormat="1" ht="15" customHeight="1" x14ac:dyDescent="0.2">
      <c r="A165" s="95"/>
      <c r="B165" s="95"/>
      <c r="C165" s="95"/>
      <c r="D165" s="234"/>
      <c r="E165" s="146"/>
      <c r="F165" s="151"/>
      <c r="G165" s="151"/>
      <c r="H165" s="151"/>
      <c r="I165" s="151"/>
      <c r="J165" s="151"/>
      <c r="K165" s="151"/>
      <c r="L165" s="151"/>
      <c r="N165" s="151"/>
      <c r="O165" s="151"/>
      <c r="P165" s="151"/>
      <c r="R165" s="151"/>
      <c r="S165" s="151"/>
      <c r="T165" s="151"/>
      <c r="V165" s="151"/>
      <c r="W165" s="151"/>
      <c r="X165" s="151"/>
      <c r="Y165" s="144"/>
      <c r="Z165" s="153"/>
      <c r="AA165" s="231"/>
      <c r="AB165" s="153"/>
      <c r="AC165" s="153"/>
      <c r="AD165" s="153"/>
      <c r="AE165" s="231"/>
      <c r="AH165" s="153"/>
      <c r="AI165" s="153"/>
      <c r="AJ165" s="153"/>
    </row>
    <row r="166" spans="1:38" s="134" customFormat="1" ht="15" customHeight="1" x14ac:dyDescent="0.2">
      <c r="A166" s="698" t="s">
        <v>7</v>
      </c>
      <c r="B166" s="699"/>
      <c r="C166" s="700"/>
      <c r="D166" s="135"/>
      <c r="F166" s="140">
        <v>581232.79000000015</v>
      </c>
      <c r="G166" s="140">
        <v>519447.92000000004</v>
      </c>
      <c r="H166" s="140">
        <v>61784.869999999988</v>
      </c>
      <c r="I166" s="232"/>
      <c r="J166" s="140">
        <v>105609.51048374921</v>
      </c>
      <c r="K166" s="140">
        <v>105609.51048374921</v>
      </c>
      <c r="L166" s="140">
        <v>0</v>
      </c>
      <c r="M166" s="232"/>
      <c r="N166" s="140">
        <v>73943.329999999958</v>
      </c>
      <c r="O166" s="140">
        <v>72615.859999999957</v>
      </c>
      <c r="P166" s="140">
        <v>1327.47</v>
      </c>
      <c r="Q166" s="232"/>
      <c r="R166" s="140">
        <v>22807.800000000003</v>
      </c>
      <c r="S166" s="140">
        <v>21259.11</v>
      </c>
      <c r="T166" s="140">
        <v>1548.69</v>
      </c>
      <c r="V166" s="140">
        <f>F166+K166+N166+R166</f>
        <v>783593.43048374937</v>
      </c>
      <c r="W166" s="140">
        <f>G166+K166+O166+S166</f>
        <v>718932.40048374922</v>
      </c>
      <c r="X166" s="140">
        <f>H166+L166+P166+T166</f>
        <v>64661.029999999992</v>
      </c>
      <c r="Y166" s="144">
        <v>0.91832116615965342</v>
      </c>
      <c r="Z166" s="233">
        <f>F166+K166</f>
        <v>686842.30048374936</v>
      </c>
      <c r="AA166" s="231"/>
      <c r="AB166" s="235">
        <v>4.3578396018892125</v>
      </c>
      <c r="AC166" s="236"/>
      <c r="AD166" s="236"/>
      <c r="AE166" s="231"/>
      <c r="AH166" s="153"/>
      <c r="AI166" s="153"/>
      <c r="AJ166" s="153"/>
      <c r="AL166" s="153"/>
    </row>
    <row r="167" spans="1:38" s="134" customFormat="1" ht="11.25" x14ac:dyDescent="0.2">
      <c r="B167" s="232" t="s">
        <v>225</v>
      </c>
      <c r="D167" s="135"/>
      <c r="F167" s="138"/>
      <c r="G167" s="138"/>
      <c r="H167" s="137"/>
      <c r="J167" s="138"/>
      <c r="K167" s="138"/>
      <c r="L167" s="138"/>
      <c r="N167" s="138"/>
      <c r="O167" s="138"/>
      <c r="P167" s="138"/>
      <c r="R167" s="138"/>
      <c r="S167" s="138"/>
      <c r="T167" s="138"/>
      <c r="V167" s="30"/>
      <c r="W167" s="30"/>
      <c r="X167" s="30"/>
      <c r="Z167" s="146"/>
      <c r="AA167" s="231"/>
      <c r="AB167" s="146"/>
      <c r="AC167" s="146"/>
      <c r="AD167" s="146"/>
      <c r="AE167" s="231"/>
      <c r="AL167" s="153"/>
    </row>
    <row r="168" spans="1:38" s="134" customFormat="1" ht="15" customHeight="1" x14ac:dyDescent="0.2">
      <c r="A168" s="694" t="s">
        <v>8</v>
      </c>
      <c r="B168" s="694"/>
      <c r="C168" s="694"/>
      <c r="D168" s="147"/>
      <c r="E168" s="147">
        <f>SUMIF($D$6:$D$133,"S",E$6:E$133)</f>
        <v>0</v>
      </c>
      <c r="F168" s="147">
        <v>316013.97000000003</v>
      </c>
      <c r="G168" s="147">
        <v>278026.95</v>
      </c>
      <c r="H168" s="147">
        <v>37987.020000000004</v>
      </c>
      <c r="J168" s="147">
        <v>47464.050799350116</v>
      </c>
      <c r="K168" s="147">
        <v>47464.050799350101</v>
      </c>
      <c r="L168" s="147">
        <v>0</v>
      </c>
      <c r="N168" s="147">
        <v>2178.4899999999998</v>
      </c>
      <c r="O168" s="147">
        <v>2155.0899999999997</v>
      </c>
      <c r="P168" s="147">
        <v>23.400000000000002</v>
      </c>
      <c r="R168" s="147">
        <v>17297.300000000003</v>
      </c>
      <c r="S168" s="147">
        <v>15752.750000000002</v>
      </c>
      <c r="T168" s="147">
        <v>1544.55</v>
      </c>
      <c r="V168" s="147">
        <f t="shared" ref="V168:V171" si="7">F168+K168+N168+R168</f>
        <v>382953.81079935009</v>
      </c>
      <c r="W168" s="147">
        <f t="shared" ref="W168:X171" si="8">G168+K168+O168+S168</f>
        <v>343398.84079935012</v>
      </c>
      <c r="X168" s="147">
        <f t="shared" si="8"/>
        <v>39554.970000000008</v>
      </c>
      <c r="Y168" s="144"/>
      <c r="Z168" s="147">
        <f>F168+K168</f>
        <v>363478.02079935011</v>
      </c>
      <c r="AA168" s="231"/>
      <c r="AB168" s="236"/>
      <c r="AC168" s="236"/>
      <c r="AD168" s="236"/>
      <c r="AE168" s="231"/>
      <c r="AF168" s="153"/>
      <c r="AG168" s="153"/>
      <c r="AH168" s="153"/>
      <c r="AI168" s="153"/>
      <c r="AJ168" s="153"/>
      <c r="AL168" s="153"/>
    </row>
    <row r="169" spans="1:38" s="134" customFormat="1" ht="15" customHeight="1" x14ac:dyDescent="0.2">
      <c r="A169" s="694" t="s">
        <v>9</v>
      </c>
      <c r="B169" s="694"/>
      <c r="C169" s="694"/>
      <c r="D169" s="234"/>
      <c r="E169" s="146"/>
      <c r="F169" s="147">
        <v>122256.95999999999</v>
      </c>
      <c r="G169" s="147">
        <v>113772.66999999998</v>
      </c>
      <c r="H169" s="147">
        <v>8484.2900000000009</v>
      </c>
      <c r="J169" s="147">
        <v>23168.060662724045</v>
      </c>
      <c r="K169" s="147">
        <v>23168.060662724045</v>
      </c>
      <c r="L169" s="147">
        <v>0</v>
      </c>
      <c r="N169" s="147">
        <v>20151.189999999999</v>
      </c>
      <c r="O169" s="147">
        <v>20112.399999999998</v>
      </c>
      <c r="P169" s="147">
        <v>38.79</v>
      </c>
      <c r="R169" s="147">
        <v>2486.4700000000003</v>
      </c>
      <c r="S169" s="147">
        <v>2484.33</v>
      </c>
      <c r="T169" s="147">
        <v>2.14</v>
      </c>
      <c r="V169" s="147">
        <f t="shared" si="7"/>
        <v>168062.68066272404</v>
      </c>
      <c r="W169" s="147">
        <f t="shared" si="8"/>
        <v>159537.46066272401</v>
      </c>
      <c r="X169" s="147">
        <f t="shared" si="8"/>
        <v>8525.2200000000012</v>
      </c>
      <c r="Y169" s="144"/>
      <c r="Z169" s="147">
        <f t="shared" ref="Z169:Z170" si="9">F169+K169</f>
        <v>145425.02066272404</v>
      </c>
      <c r="AA169" s="231"/>
      <c r="AB169" s="146"/>
      <c r="AC169" s="146"/>
      <c r="AD169" s="146"/>
      <c r="AE169" s="231"/>
      <c r="AH169" s="153"/>
      <c r="AI169" s="153"/>
      <c r="AJ169" s="153"/>
      <c r="AL169" s="153"/>
    </row>
    <row r="170" spans="1:38" s="134" customFormat="1" ht="15" customHeight="1" x14ac:dyDescent="0.2">
      <c r="A170" s="694" t="s">
        <v>10</v>
      </c>
      <c r="B170" s="694"/>
      <c r="C170" s="694"/>
      <c r="D170" s="234"/>
      <c r="E170" s="146"/>
      <c r="F170" s="147">
        <v>76086.569999999992</v>
      </c>
      <c r="G170" s="147">
        <v>68724.460000000006</v>
      </c>
      <c r="H170" s="147">
        <v>7362.11</v>
      </c>
      <c r="J170" s="147">
        <v>13877.119464990235</v>
      </c>
      <c r="K170" s="147">
        <v>13877.119464990235</v>
      </c>
      <c r="L170" s="147">
        <v>0</v>
      </c>
      <c r="N170" s="147">
        <v>26648.080000000002</v>
      </c>
      <c r="O170" s="147">
        <v>26643.280000000006</v>
      </c>
      <c r="P170" s="147">
        <v>4.8</v>
      </c>
      <c r="R170" s="147">
        <v>1847.77</v>
      </c>
      <c r="S170" s="147">
        <v>1847.77</v>
      </c>
      <c r="T170" s="147">
        <v>0</v>
      </c>
      <c r="V170" s="147">
        <f t="shared" si="7"/>
        <v>118459.53946499023</v>
      </c>
      <c r="W170" s="147">
        <f t="shared" si="8"/>
        <v>111092.62946499024</v>
      </c>
      <c r="X170" s="147">
        <f t="shared" si="8"/>
        <v>7366.91</v>
      </c>
      <c r="Y170" s="144"/>
      <c r="Z170" s="147">
        <f t="shared" si="9"/>
        <v>89963.689464990224</v>
      </c>
      <c r="AA170" s="231"/>
      <c r="AB170" s="236"/>
      <c r="AC170" s="236"/>
      <c r="AD170" s="236"/>
      <c r="AE170" s="231"/>
      <c r="AH170" s="153"/>
      <c r="AI170" s="153"/>
      <c r="AJ170" s="153"/>
      <c r="AL170" s="153"/>
    </row>
    <row r="171" spans="1:38" s="134" customFormat="1" ht="15" customHeight="1" x14ac:dyDescent="0.2">
      <c r="A171" s="694" t="s">
        <v>11</v>
      </c>
      <c r="B171" s="694"/>
      <c r="C171" s="694"/>
      <c r="D171" s="234"/>
      <c r="E171" s="146"/>
      <c r="F171" s="147">
        <v>66875.289999999994</v>
      </c>
      <c r="G171" s="147">
        <v>58923.839999999989</v>
      </c>
      <c r="H171" s="147">
        <v>7951.4500000000007</v>
      </c>
      <c r="J171" s="147">
        <v>21100.279556684753</v>
      </c>
      <c r="K171" s="147">
        <v>21100.279556684753</v>
      </c>
      <c r="L171" s="147">
        <v>0</v>
      </c>
      <c r="N171" s="147">
        <v>24965.570000000003</v>
      </c>
      <c r="O171" s="147">
        <v>23705.09</v>
      </c>
      <c r="P171" s="147">
        <v>1260.48</v>
      </c>
      <c r="R171" s="147">
        <v>1176.2599999999998</v>
      </c>
      <c r="S171" s="147">
        <v>1174.2599999999998</v>
      </c>
      <c r="T171" s="147">
        <v>2</v>
      </c>
      <c r="V171" s="147">
        <f t="shared" si="7"/>
        <v>114117.39955668474</v>
      </c>
      <c r="W171" s="147">
        <f t="shared" si="8"/>
        <v>104903.46955668474</v>
      </c>
      <c r="X171" s="147">
        <f t="shared" si="8"/>
        <v>9213.93</v>
      </c>
      <c r="Y171" s="144"/>
      <c r="Z171" s="147">
        <f>F171+K171</f>
        <v>87975.569556684743</v>
      </c>
      <c r="AA171" s="231"/>
      <c r="AB171" s="237"/>
      <c r="AC171" s="146"/>
      <c r="AD171" s="146"/>
      <c r="AE171" s="231"/>
      <c r="AH171" s="153"/>
      <c r="AI171" s="153"/>
      <c r="AJ171" s="153"/>
      <c r="AL171" s="153"/>
    </row>
    <row r="172" spans="1:38" s="134" customFormat="1" ht="15" customHeight="1" x14ac:dyDescent="0.2">
      <c r="A172" s="95"/>
      <c r="B172" s="95"/>
      <c r="C172" s="95"/>
      <c r="D172" s="234"/>
      <c r="E172" s="146"/>
      <c r="F172" s="151"/>
      <c r="G172" s="151"/>
      <c r="H172" s="151"/>
      <c r="J172" s="151"/>
      <c r="K172" s="151"/>
      <c r="L172" s="151"/>
      <c r="N172" s="151"/>
      <c r="O172" s="151"/>
      <c r="P172" s="151"/>
      <c r="R172" s="151"/>
      <c r="S172" s="151"/>
      <c r="T172" s="151"/>
      <c r="V172" s="151"/>
      <c r="W172" s="151"/>
      <c r="X172" s="151"/>
      <c r="Y172" s="144"/>
      <c r="Z172" s="153"/>
      <c r="AA172" s="231"/>
      <c r="AB172" s="236"/>
      <c r="AC172" s="236"/>
      <c r="AD172" s="236"/>
      <c r="AE172" s="231"/>
      <c r="AH172" s="153"/>
      <c r="AI172" s="153"/>
      <c r="AJ172" s="153"/>
    </row>
    <row r="173" spans="1:38" s="134" customFormat="1" ht="15" customHeight="1" x14ac:dyDescent="0.2">
      <c r="A173" s="721" t="s">
        <v>7</v>
      </c>
      <c r="B173" s="722"/>
      <c r="C173" s="723"/>
      <c r="D173" s="238"/>
      <c r="E173" s="239"/>
      <c r="F173" s="240">
        <v>638651.42999999982</v>
      </c>
      <c r="G173" s="240">
        <v>583170.20000000007</v>
      </c>
      <c r="H173" s="240">
        <v>55481.230000000018</v>
      </c>
      <c r="I173" s="241"/>
      <c r="J173" s="240">
        <v>33060.732277269788</v>
      </c>
      <c r="K173" s="240">
        <v>33060.732277269788</v>
      </c>
      <c r="L173" s="240">
        <v>0</v>
      </c>
      <c r="M173" s="241"/>
      <c r="N173" s="240">
        <v>84709.35</v>
      </c>
      <c r="O173" s="240">
        <v>82629.62999999999</v>
      </c>
      <c r="P173" s="240">
        <v>2079.7200000000003</v>
      </c>
      <c r="Q173" s="241"/>
      <c r="R173" s="240">
        <v>22391.050000000003</v>
      </c>
      <c r="S173" s="240">
        <v>18259.219999999998</v>
      </c>
      <c r="T173" s="240">
        <v>4131.83</v>
      </c>
      <c r="U173" s="239"/>
      <c r="V173" s="240">
        <v>782031.89527726988</v>
      </c>
      <c r="W173" s="240">
        <v>720045.88527726964</v>
      </c>
      <c r="X173" s="240">
        <v>61986.01</v>
      </c>
      <c r="Y173" s="242">
        <v>0.92073723543203689</v>
      </c>
      <c r="Z173" s="166">
        <v>671712.16227726964</v>
      </c>
      <c r="AA173" s="144"/>
      <c r="AB173" s="146"/>
      <c r="AC173" s="146"/>
      <c r="AD173" s="146"/>
      <c r="AE173" s="231"/>
      <c r="AH173" s="153"/>
      <c r="AI173" s="153"/>
      <c r="AJ173" s="153"/>
    </row>
    <row r="174" spans="1:38" s="134" customFormat="1" ht="15" customHeight="1" x14ac:dyDescent="0.2">
      <c r="A174" s="239"/>
      <c r="B174" s="239" t="s">
        <v>226</v>
      </c>
      <c r="C174" s="239"/>
      <c r="D174" s="238"/>
      <c r="E174" s="239"/>
      <c r="F174" s="243"/>
      <c r="G174" s="243"/>
      <c r="H174" s="244"/>
      <c r="I174" s="239"/>
      <c r="J174" s="243"/>
      <c r="K174" s="243"/>
      <c r="L174" s="243"/>
      <c r="M174" s="239"/>
      <c r="N174" s="243"/>
      <c r="O174" s="243"/>
      <c r="P174" s="243"/>
      <c r="Q174" s="239"/>
      <c r="R174" s="243"/>
      <c r="S174" s="243"/>
      <c r="T174" s="243"/>
      <c r="U174" s="239"/>
      <c r="V174" s="245"/>
      <c r="W174" s="245"/>
      <c r="X174" s="245"/>
      <c r="Y174" s="239"/>
      <c r="Z174" s="246"/>
      <c r="AA174" s="153"/>
      <c r="AB174" s="236"/>
      <c r="AC174" s="236"/>
      <c r="AD174" s="236"/>
      <c r="AE174" s="153"/>
      <c r="AF174" s="153"/>
      <c r="AH174" s="153"/>
      <c r="AI174" s="153"/>
      <c r="AJ174" s="153"/>
    </row>
    <row r="175" spans="1:38" s="134" customFormat="1" ht="15" customHeight="1" x14ac:dyDescent="0.2">
      <c r="A175" s="720" t="s">
        <v>8</v>
      </c>
      <c r="B175" s="720"/>
      <c r="C175" s="720"/>
      <c r="D175" s="247"/>
      <c r="E175" s="247">
        <f>SUMIF($D$6:$D$133,"S",E$6:E$133)</f>
        <v>0</v>
      </c>
      <c r="F175" s="247">
        <v>343629.62</v>
      </c>
      <c r="G175" s="247">
        <v>312280.62</v>
      </c>
      <c r="H175" s="247">
        <v>31349</v>
      </c>
      <c r="I175" s="239"/>
      <c r="J175" s="247">
        <v>11202.143744571043</v>
      </c>
      <c r="K175" s="247">
        <v>11202.143744571043</v>
      </c>
      <c r="L175" s="247">
        <v>0</v>
      </c>
      <c r="M175" s="239"/>
      <c r="N175" s="247">
        <v>1765.69</v>
      </c>
      <c r="O175" s="247">
        <v>1749.68</v>
      </c>
      <c r="P175" s="247">
        <v>16.009999999999998</v>
      </c>
      <c r="Q175" s="239"/>
      <c r="R175" s="247">
        <v>17788.87</v>
      </c>
      <c r="S175" s="247">
        <v>13982.51</v>
      </c>
      <c r="T175" s="247">
        <v>3806.36</v>
      </c>
      <c r="U175" s="239"/>
      <c r="V175" s="247">
        <v>375061.18374457106</v>
      </c>
      <c r="W175" s="247">
        <v>339864.84374457109</v>
      </c>
      <c r="X175" s="247">
        <v>35196.339999999997</v>
      </c>
      <c r="Y175" s="242"/>
      <c r="Z175" s="246">
        <v>354831.76374457101</v>
      </c>
      <c r="AA175" s="153"/>
      <c r="AB175" s="146"/>
      <c r="AC175" s="146"/>
      <c r="AD175" s="146"/>
      <c r="AE175" s="153"/>
      <c r="AF175" s="153"/>
      <c r="AH175" s="153"/>
      <c r="AI175" s="153"/>
      <c r="AJ175" s="153"/>
    </row>
    <row r="176" spans="1:38" s="134" customFormat="1" ht="15" customHeight="1" x14ac:dyDescent="0.2">
      <c r="A176" s="720" t="s">
        <v>9</v>
      </c>
      <c r="B176" s="720"/>
      <c r="C176" s="720"/>
      <c r="D176" s="248"/>
      <c r="E176" s="249"/>
      <c r="F176" s="247">
        <v>135914.96</v>
      </c>
      <c r="G176" s="247">
        <v>127634.14000000001</v>
      </c>
      <c r="H176" s="247">
        <v>8280.82</v>
      </c>
      <c r="I176" s="239"/>
      <c r="J176" s="247">
        <v>8104.2988676980576</v>
      </c>
      <c r="K176" s="247">
        <v>8104.2988676980576</v>
      </c>
      <c r="L176" s="247">
        <v>0</v>
      </c>
      <c r="M176" s="239"/>
      <c r="N176" s="247">
        <v>24169.690000000002</v>
      </c>
      <c r="O176" s="247">
        <v>23556.980000000003</v>
      </c>
      <c r="P176" s="247">
        <v>612.71</v>
      </c>
      <c r="Q176" s="239"/>
      <c r="R176" s="247">
        <v>1924.21</v>
      </c>
      <c r="S176" s="247">
        <v>1922.3100000000002</v>
      </c>
      <c r="T176" s="247">
        <v>1.9</v>
      </c>
      <c r="U176" s="239"/>
      <c r="V176" s="247">
        <v>170685.48886769806</v>
      </c>
      <c r="W176" s="247">
        <v>161711.05886769807</v>
      </c>
      <c r="X176" s="247">
        <v>8974.43</v>
      </c>
      <c r="Y176" s="242"/>
      <c r="Z176" s="246">
        <v>144019.25886769805</v>
      </c>
      <c r="AA176" s="153"/>
      <c r="AB176" s="236"/>
      <c r="AC176" s="236"/>
      <c r="AD176" s="236"/>
      <c r="AE176" s="153"/>
      <c r="AF176" s="153"/>
      <c r="AH176" s="153"/>
      <c r="AI176" s="153"/>
      <c r="AJ176" s="153"/>
    </row>
    <row r="177" spans="1:36" s="134" customFormat="1" ht="15" customHeight="1" x14ac:dyDescent="0.2">
      <c r="A177" s="720" t="s">
        <v>10</v>
      </c>
      <c r="B177" s="720"/>
      <c r="C177" s="720"/>
      <c r="D177" s="248"/>
      <c r="E177" s="249"/>
      <c r="F177" s="247">
        <v>87063.7</v>
      </c>
      <c r="G177" s="247">
        <v>79622.12</v>
      </c>
      <c r="H177" s="247">
        <v>7441.58</v>
      </c>
      <c r="I177" s="239"/>
      <c r="J177" s="247">
        <v>5206.2136774979663</v>
      </c>
      <c r="K177" s="247">
        <v>5206.2136774979663</v>
      </c>
      <c r="L177" s="247">
        <v>0</v>
      </c>
      <c r="M177" s="239"/>
      <c r="N177" s="247">
        <v>24991.94</v>
      </c>
      <c r="O177" s="247">
        <v>24510.059999999998</v>
      </c>
      <c r="P177" s="247">
        <v>481.88000000000005</v>
      </c>
      <c r="Q177" s="239"/>
      <c r="R177" s="247">
        <v>1482.1899999999998</v>
      </c>
      <c r="S177" s="247">
        <v>1191.6399999999999</v>
      </c>
      <c r="T177" s="247">
        <v>290.55</v>
      </c>
      <c r="U177" s="239"/>
      <c r="V177" s="247">
        <v>119407.59367749795</v>
      </c>
      <c r="W177" s="247">
        <v>111134.643677498</v>
      </c>
      <c r="X177" s="247">
        <v>8272.9500000000007</v>
      </c>
      <c r="Y177" s="242"/>
      <c r="Z177" s="246">
        <v>92269.913677497971</v>
      </c>
      <c r="AA177" s="153"/>
      <c r="AB177" s="146"/>
      <c r="AC177" s="146"/>
      <c r="AD177" s="146"/>
      <c r="AE177" s="153"/>
      <c r="AF177" s="153"/>
      <c r="AH177" s="153"/>
      <c r="AI177" s="153"/>
      <c r="AJ177" s="153"/>
    </row>
    <row r="178" spans="1:36" s="134" customFormat="1" ht="15" customHeight="1" x14ac:dyDescent="0.2">
      <c r="A178" s="720" t="s">
        <v>11</v>
      </c>
      <c r="B178" s="720"/>
      <c r="C178" s="720"/>
      <c r="D178" s="248"/>
      <c r="E178" s="249"/>
      <c r="F178" s="247">
        <v>72043.149999999994</v>
      </c>
      <c r="G178" s="247">
        <v>63633.319999999992</v>
      </c>
      <c r="H178" s="247">
        <v>8409.83</v>
      </c>
      <c r="I178" s="239"/>
      <c r="J178" s="247">
        <v>8548.0759875027288</v>
      </c>
      <c r="K178" s="247">
        <v>8548.0759875027288</v>
      </c>
      <c r="L178" s="247">
        <v>0</v>
      </c>
      <c r="M178" s="239"/>
      <c r="N178" s="247">
        <v>33782.029999999992</v>
      </c>
      <c r="O178" s="247">
        <v>32812.909999999996</v>
      </c>
      <c r="P178" s="247">
        <v>969.11999999999978</v>
      </c>
      <c r="Q178" s="239"/>
      <c r="R178" s="247">
        <v>1195.78</v>
      </c>
      <c r="S178" s="247">
        <v>1162.76</v>
      </c>
      <c r="T178" s="247">
        <v>33.019999999999996</v>
      </c>
      <c r="U178" s="239"/>
      <c r="V178" s="247">
        <v>116877.62898750273</v>
      </c>
      <c r="W178" s="247">
        <v>107335.33898750271</v>
      </c>
      <c r="X178" s="247">
        <v>9542.2899999999991</v>
      </c>
      <c r="Y178" s="242"/>
      <c r="Z178" s="246">
        <v>80591.225987502723</v>
      </c>
      <c r="AA178" s="153"/>
      <c r="AB178" s="236"/>
      <c r="AC178" s="236"/>
      <c r="AD178" s="236"/>
      <c r="AE178" s="153"/>
      <c r="AF178" s="153"/>
      <c r="AH178" s="153"/>
      <c r="AI178" s="153"/>
      <c r="AJ178" s="153"/>
    </row>
    <row r="179" spans="1:36" s="134" customFormat="1" ht="15" customHeight="1" x14ac:dyDescent="0.2">
      <c r="A179" s="95"/>
      <c r="B179" s="95"/>
      <c r="C179" s="95"/>
      <c r="D179" s="234"/>
      <c r="E179" s="146"/>
      <c r="F179" s="151"/>
      <c r="G179" s="151"/>
      <c r="H179" s="152"/>
      <c r="J179" s="151"/>
      <c r="K179" s="151"/>
      <c r="L179" s="151"/>
      <c r="N179" s="250"/>
      <c r="O179" s="151"/>
      <c r="P179" s="151"/>
      <c r="R179" s="250"/>
      <c r="S179" s="151"/>
      <c r="T179" s="151"/>
      <c r="V179" s="151"/>
      <c r="W179" s="151"/>
      <c r="X179" s="151"/>
      <c r="Y179" s="144"/>
      <c r="AB179" s="146"/>
      <c r="AC179" s="146"/>
      <c r="AD179" s="146"/>
    </row>
    <row r="180" spans="1:36" s="134" customFormat="1" ht="15" customHeight="1" x14ac:dyDescent="0.2">
      <c r="A180" s="695" t="s">
        <v>7</v>
      </c>
      <c r="B180" s="696"/>
      <c r="C180" s="697"/>
      <c r="D180" s="164"/>
      <c r="E180" s="165"/>
      <c r="F180" s="166">
        <v>679059.34999999986</v>
      </c>
      <c r="G180" s="166">
        <v>618467.11</v>
      </c>
      <c r="H180" s="166">
        <v>60592.240000000027</v>
      </c>
      <c r="I180" s="251"/>
      <c r="J180" s="166"/>
      <c r="K180" s="166"/>
      <c r="L180" s="166"/>
      <c r="M180" s="251"/>
      <c r="N180" s="166">
        <v>95076.189999999988</v>
      </c>
      <c r="O180" s="166">
        <v>93873.680000000037</v>
      </c>
      <c r="P180" s="166">
        <v>1202.51</v>
      </c>
      <c r="Q180" s="251"/>
      <c r="R180" s="166">
        <v>30053.54</v>
      </c>
      <c r="S180" s="166">
        <v>26307.129999999997</v>
      </c>
      <c r="T180" s="166">
        <v>3746.41</v>
      </c>
      <c r="U180" s="166"/>
      <c r="V180" s="166">
        <v>804189.07999999984</v>
      </c>
      <c r="W180" s="166">
        <v>738647.92000000027</v>
      </c>
      <c r="X180" s="166">
        <v>65541.16</v>
      </c>
      <c r="Y180" s="144"/>
      <c r="AB180" s="236"/>
      <c r="AC180" s="236"/>
      <c r="AD180" s="236"/>
    </row>
    <row r="181" spans="1:36" s="134" customFormat="1" ht="15" customHeight="1" x14ac:dyDescent="0.2">
      <c r="A181" s="165"/>
      <c r="B181" s="165" t="s">
        <v>227</v>
      </c>
      <c r="C181" s="165"/>
      <c r="D181" s="164"/>
      <c r="E181" s="165"/>
      <c r="F181" s="252"/>
      <c r="G181" s="252"/>
      <c r="H181" s="169"/>
      <c r="I181" s="165"/>
      <c r="J181" s="252"/>
      <c r="K181" s="252"/>
      <c r="L181" s="252"/>
      <c r="M181" s="165"/>
      <c r="N181" s="252"/>
      <c r="O181" s="252"/>
      <c r="P181" s="252"/>
      <c r="Q181" s="165"/>
      <c r="R181" s="252"/>
      <c r="S181" s="252"/>
      <c r="T181" s="252"/>
      <c r="U181" s="252"/>
      <c r="V181" s="252"/>
      <c r="W181" s="252"/>
      <c r="X181" s="252"/>
      <c r="Y181" s="144"/>
      <c r="Z181" s="153"/>
      <c r="AB181" s="146"/>
      <c r="AC181" s="146"/>
      <c r="AD181" s="146"/>
    </row>
    <row r="182" spans="1:36" s="134" customFormat="1" ht="15" customHeight="1" x14ac:dyDescent="0.2">
      <c r="A182" s="686" t="s">
        <v>8</v>
      </c>
      <c r="B182" s="686"/>
      <c r="C182" s="686"/>
      <c r="D182" s="172"/>
      <c r="E182" s="172">
        <f>SUMIF($D$6:$D$133,"S",E$6:E$133)</f>
        <v>0</v>
      </c>
      <c r="F182" s="172">
        <v>368293.99999999994</v>
      </c>
      <c r="G182" s="172">
        <v>329597.11</v>
      </c>
      <c r="H182" s="172">
        <v>38696.89</v>
      </c>
      <c r="I182" s="165"/>
      <c r="J182" s="172"/>
      <c r="K182" s="172"/>
      <c r="L182" s="172"/>
      <c r="M182" s="165"/>
      <c r="N182" s="172">
        <v>1955.14</v>
      </c>
      <c r="O182" s="172">
        <v>1951.45</v>
      </c>
      <c r="P182" s="172">
        <v>3.69</v>
      </c>
      <c r="Q182" s="165"/>
      <c r="R182" s="172">
        <v>26630.980000000003</v>
      </c>
      <c r="S182" s="172">
        <v>22885.57</v>
      </c>
      <c r="T182" s="172">
        <v>3745.41</v>
      </c>
      <c r="U182" s="172"/>
      <c r="V182" s="172">
        <v>396880.12</v>
      </c>
      <c r="W182" s="172">
        <v>354434.13</v>
      </c>
      <c r="X182" s="172">
        <v>42445.990000000005</v>
      </c>
      <c r="Y182" s="144"/>
      <c r="AA182" s="153"/>
      <c r="AB182" s="236"/>
      <c r="AC182" s="236"/>
      <c r="AD182" s="236"/>
      <c r="AE182" s="153"/>
    </row>
    <row r="183" spans="1:36" s="134" customFormat="1" ht="15" customHeight="1" x14ac:dyDescent="0.2">
      <c r="A183" s="686" t="s">
        <v>9</v>
      </c>
      <c r="B183" s="686"/>
      <c r="C183" s="686"/>
      <c r="D183" s="253"/>
      <c r="E183" s="171"/>
      <c r="F183" s="172">
        <v>144971.00999999998</v>
      </c>
      <c r="G183" s="172">
        <v>136467.85999999999</v>
      </c>
      <c r="H183" s="172">
        <v>8503.15</v>
      </c>
      <c r="I183" s="165"/>
      <c r="J183" s="172"/>
      <c r="K183" s="172"/>
      <c r="L183" s="172"/>
      <c r="M183" s="165"/>
      <c r="N183" s="172">
        <v>25069.039999999997</v>
      </c>
      <c r="O183" s="172">
        <v>24918.93</v>
      </c>
      <c r="P183" s="172">
        <v>150.11000000000001</v>
      </c>
      <c r="Q183" s="165"/>
      <c r="R183" s="172">
        <v>1283.6400000000001</v>
      </c>
      <c r="S183" s="172">
        <v>1282.6400000000001</v>
      </c>
      <c r="T183" s="172">
        <v>1</v>
      </c>
      <c r="U183" s="172"/>
      <c r="V183" s="172">
        <v>171323.69</v>
      </c>
      <c r="W183" s="172">
        <v>162669.43</v>
      </c>
      <c r="X183" s="172">
        <v>8654.26</v>
      </c>
      <c r="Y183" s="144"/>
      <c r="AB183" s="146"/>
      <c r="AC183" s="146"/>
      <c r="AD183" s="146"/>
    </row>
    <row r="184" spans="1:36" s="134" customFormat="1" ht="15" customHeight="1" x14ac:dyDescent="0.2">
      <c r="A184" s="686" t="s">
        <v>10</v>
      </c>
      <c r="B184" s="686"/>
      <c r="C184" s="686"/>
      <c r="D184" s="253"/>
      <c r="E184" s="171"/>
      <c r="F184" s="172">
        <v>89213.52</v>
      </c>
      <c r="G184" s="172">
        <v>83204.26999999999</v>
      </c>
      <c r="H184" s="172">
        <v>6009.25</v>
      </c>
      <c r="I184" s="165"/>
      <c r="J184" s="172"/>
      <c r="K184" s="172"/>
      <c r="L184" s="172"/>
      <c r="M184" s="165"/>
      <c r="N184" s="172">
        <v>35790.200000000004</v>
      </c>
      <c r="O184" s="172">
        <v>35652.920000000006</v>
      </c>
      <c r="P184" s="172">
        <v>137.28</v>
      </c>
      <c r="Q184" s="165"/>
      <c r="R184" s="172">
        <v>1263.45</v>
      </c>
      <c r="S184" s="172">
        <v>1263.45</v>
      </c>
      <c r="T184" s="172">
        <v>0</v>
      </c>
      <c r="U184" s="172"/>
      <c r="V184" s="172">
        <v>126267.17000000001</v>
      </c>
      <c r="W184" s="172">
        <v>120120.63999999998</v>
      </c>
      <c r="X184" s="172">
        <v>6146.5300000000007</v>
      </c>
      <c r="Y184" s="144"/>
    </row>
    <row r="185" spans="1:36" s="134" customFormat="1" ht="15" customHeight="1" x14ac:dyDescent="0.2">
      <c r="A185" s="686" t="s">
        <v>11</v>
      </c>
      <c r="B185" s="686"/>
      <c r="C185" s="686"/>
      <c r="D185" s="253"/>
      <c r="E185" s="171"/>
      <c r="F185" s="172">
        <v>76580.820000000007</v>
      </c>
      <c r="G185" s="172">
        <v>69197.87</v>
      </c>
      <c r="H185" s="172">
        <v>7382.95</v>
      </c>
      <c r="I185" s="165"/>
      <c r="J185" s="172"/>
      <c r="K185" s="172"/>
      <c r="L185" s="172"/>
      <c r="M185" s="165"/>
      <c r="N185" s="172">
        <v>32261.810000000009</v>
      </c>
      <c r="O185" s="172">
        <v>31350.38</v>
      </c>
      <c r="P185" s="172">
        <v>911.43</v>
      </c>
      <c r="Q185" s="165"/>
      <c r="R185" s="172">
        <v>875.47</v>
      </c>
      <c r="S185" s="172">
        <v>875.47</v>
      </c>
      <c r="T185" s="172">
        <v>0</v>
      </c>
      <c r="U185" s="172"/>
      <c r="V185" s="172">
        <v>109718.09999999999</v>
      </c>
      <c r="W185" s="172">
        <v>101423.72000000003</v>
      </c>
      <c r="X185" s="172">
        <v>8294.3800000000028</v>
      </c>
      <c r="Y185" s="144"/>
    </row>
    <row r="186" spans="1:36" s="134" customFormat="1" ht="15" customHeight="1" x14ac:dyDescent="0.2">
      <c r="A186" s="95"/>
      <c r="B186" s="95"/>
      <c r="C186" s="95"/>
      <c r="D186" s="234"/>
      <c r="E186" s="146"/>
      <c r="F186" s="151"/>
      <c r="G186" s="151"/>
      <c r="H186" s="151"/>
      <c r="J186" s="151"/>
      <c r="K186" s="151"/>
      <c r="L186" s="151"/>
      <c r="N186" s="151"/>
      <c r="O186" s="151"/>
      <c r="P186" s="151"/>
      <c r="R186" s="151"/>
      <c r="S186" s="151"/>
      <c r="T186" s="151"/>
      <c r="U186" s="151"/>
      <c r="V186" s="151"/>
      <c r="W186" s="151"/>
      <c r="X186" s="151"/>
      <c r="Y186" s="144"/>
    </row>
    <row r="187" spans="1:36" x14ac:dyDescent="0.2">
      <c r="A187" s="687" t="s">
        <v>7</v>
      </c>
      <c r="B187" s="688"/>
      <c r="C187" s="689"/>
      <c r="D187" s="174"/>
      <c r="E187" s="175"/>
      <c r="F187" s="176">
        <v>685540.0199999999</v>
      </c>
      <c r="G187" s="176">
        <v>627683.69000000006</v>
      </c>
      <c r="H187" s="176">
        <v>57856.330000000024</v>
      </c>
      <c r="I187" s="254"/>
      <c r="J187" s="176"/>
      <c r="K187" s="176"/>
      <c r="L187" s="176"/>
      <c r="M187" s="254"/>
      <c r="N187" s="176">
        <v>107087.28600000004</v>
      </c>
      <c r="O187" s="176">
        <v>97722.436000000031</v>
      </c>
      <c r="P187" s="176">
        <v>9364.8499999999985</v>
      </c>
      <c r="Q187" s="254"/>
      <c r="R187" s="176">
        <v>17771.319999999996</v>
      </c>
      <c r="S187" s="176">
        <v>17615.439999999995</v>
      </c>
      <c r="T187" s="176">
        <v>155.88</v>
      </c>
      <c r="U187" s="176"/>
      <c r="V187" s="176">
        <v>810398.62600000005</v>
      </c>
      <c r="W187" s="176">
        <v>743021.56599999999</v>
      </c>
      <c r="X187" s="176">
        <v>67377.060000000027</v>
      </c>
    </row>
    <row r="188" spans="1:36" s="134" customFormat="1" ht="15" customHeight="1" x14ac:dyDescent="0.2">
      <c r="A188" s="175"/>
      <c r="B188" s="175" t="s">
        <v>228</v>
      </c>
      <c r="C188" s="175"/>
      <c r="D188" s="174"/>
      <c r="E188" s="175"/>
      <c r="F188" s="255"/>
      <c r="G188" s="255"/>
      <c r="H188" s="179"/>
      <c r="I188" s="175"/>
      <c r="J188" s="255"/>
      <c r="K188" s="255"/>
      <c r="L188" s="255"/>
      <c r="M188" s="175"/>
      <c r="N188" s="255"/>
      <c r="O188" s="255"/>
      <c r="P188" s="255"/>
      <c r="Q188" s="175"/>
      <c r="R188" s="255"/>
      <c r="S188" s="255"/>
      <c r="T188" s="255"/>
      <c r="U188" s="255"/>
      <c r="V188" s="255"/>
      <c r="W188" s="255"/>
      <c r="X188" s="255"/>
      <c r="Y188" s="144"/>
    </row>
    <row r="189" spans="1:36" s="134" customFormat="1" ht="11.25" x14ac:dyDescent="0.2">
      <c r="A189" s="690" t="s">
        <v>8</v>
      </c>
      <c r="B189" s="690"/>
      <c r="C189" s="690"/>
      <c r="D189" s="182"/>
      <c r="E189" s="182">
        <f>SUMIF($D$6:$D$133,"S",E$6:E$133)</f>
        <v>0</v>
      </c>
      <c r="F189" s="182">
        <v>372300.31000000006</v>
      </c>
      <c r="G189" s="182">
        <v>339212.76000000007</v>
      </c>
      <c r="H189" s="182">
        <v>33087.550000000003</v>
      </c>
      <c r="I189" s="175"/>
      <c r="J189" s="182"/>
      <c r="K189" s="182"/>
      <c r="L189" s="182"/>
      <c r="M189" s="175"/>
      <c r="N189" s="182">
        <v>4871.2860000000001</v>
      </c>
      <c r="O189" s="182">
        <v>3544.0160000000001</v>
      </c>
      <c r="P189" s="182">
        <v>1327.27</v>
      </c>
      <c r="Q189" s="175"/>
      <c r="R189" s="182">
        <v>13229.7</v>
      </c>
      <c r="S189" s="182">
        <v>13192.05</v>
      </c>
      <c r="T189" s="182">
        <v>37.65</v>
      </c>
      <c r="U189" s="182"/>
      <c r="V189" s="182">
        <v>390401.29599999997</v>
      </c>
      <c r="W189" s="182">
        <v>355948.826</v>
      </c>
      <c r="X189" s="182">
        <v>34452.470000000008</v>
      </c>
    </row>
    <row r="190" spans="1:36" s="134" customFormat="1" ht="15" customHeight="1" x14ac:dyDescent="0.2">
      <c r="A190" s="690" t="s">
        <v>9</v>
      </c>
      <c r="B190" s="690"/>
      <c r="C190" s="690"/>
      <c r="D190" s="256"/>
      <c r="E190" s="181"/>
      <c r="F190" s="182">
        <v>146660.39000000001</v>
      </c>
      <c r="G190" s="182">
        <v>134705.71</v>
      </c>
      <c r="H190" s="182">
        <v>11954.68</v>
      </c>
      <c r="I190" s="175"/>
      <c r="J190" s="182"/>
      <c r="K190" s="182"/>
      <c r="L190" s="182"/>
      <c r="M190" s="175"/>
      <c r="N190" s="182">
        <v>28754.23</v>
      </c>
      <c r="O190" s="182">
        <v>26302.869999999995</v>
      </c>
      <c r="P190" s="182">
        <v>2451.36</v>
      </c>
      <c r="Q190" s="175"/>
      <c r="R190" s="182">
        <v>1795.4099999999999</v>
      </c>
      <c r="S190" s="182">
        <v>1770.4099999999999</v>
      </c>
      <c r="T190" s="182">
        <v>25</v>
      </c>
      <c r="U190" s="182"/>
      <c r="V190" s="182">
        <v>177210.03</v>
      </c>
      <c r="W190" s="182">
        <v>162778.99000000002</v>
      </c>
      <c r="X190" s="182">
        <v>14431.04</v>
      </c>
      <c r="Y190" s="144"/>
    </row>
    <row r="191" spans="1:36" s="134" customFormat="1" ht="15" customHeight="1" x14ac:dyDescent="0.2">
      <c r="A191" s="690" t="s">
        <v>10</v>
      </c>
      <c r="B191" s="690"/>
      <c r="C191" s="690"/>
      <c r="D191" s="256"/>
      <c r="E191" s="181"/>
      <c r="F191" s="182">
        <v>88764.47</v>
      </c>
      <c r="G191" s="182">
        <v>83731.62000000001</v>
      </c>
      <c r="H191" s="182">
        <v>5032.8500000000004</v>
      </c>
      <c r="I191" s="175"/>
      <c r="J191" s="182"/>
      <c r="K191" s="182"/>
      <c r="L191" s="182"/>
      <c r="M191" s="175"/>
      <c r="N191" s="182">
        <v>33081.370000000003</v>
      </c>
      <c r="O191" s="182">
        <v>32754.100000000002</v>
      </c>
      <c r="P191" s="182">
        <v>327.27</v>
      </c>
      <c r="Q191" s="175"/>
      <c r="R191" s="182">
        <v>1459.7400000000002</v>
      </c>
      <c r="S191" s="182">
        <v>1459.7400000000002</v>
      </c>
      <c r="T191" s="182">
        <v>0</v>
      </c>
      <c r="U191" s="182"/>
      <c r="V191" s="182">
        <v>123305.58</v>
      </c>
      <c r="W191" s="182">
        <v>117945.45999999998</v>
      </c>
      <c r="X191" s="182">
        <v>5360.12</v>
      </c>
      <c r="Y191" s="144"/>
    </row>
    <row r="192" spans="1:36" s="134" customFormat="1" ht="15" customHeight="1" x14ac:dyDescent="0.2">
      <c r="A192" s="690" t="s">
        <v>11</v>
      </c>
      <c r="B192" s="690"/>
      <c r="C192" s="690"/>
      <c r="D192" s="256"/>
      <c r="E192" s="181"/>
      <c r="F192" s="182">
        <v>77814.850000000006</v>
      </c>
      <c r="G192" s="182">
        <v>70033.599999999991</v>
      </c>
      <c r="H192" s="182">
        <v>7781.2500000000018</v>
      </c>
      <c r="I192" s="175"/>
      <c r="J192" s="182"/>
      <c r="K192" s="182"/>
      <c r="L192" s="182"/>
      <c r="M192" s="175"/>
      <c r="N192" s="182">
        <v>40380.399999999994</v>
      </c>
      <c r="O192" s="182">
        <v>35121.450000000004</v>
      </c>
      <c r="P192" s="182">
        <v>5258.95</v>
      </c>
      <c r="Q192" s="175"/>
      <c r="R192" s="182">
        <v>1286.47</v>
      </c>
      <c r="S192" s="182">
        <v>1193.2400000000002</v>
      </c>
      <c r="T192" s="182">
        <v>93.23</v>
      </c>
      <c r="U192" s="182"/>
      <c r="V192" s="182">
        <v>119481.72</v>
      </c>
      <c r="W192" s="182">
        <v>106348.29000000002</v>
      </c>
      <c r="X192" s="182">
        <v>13133.43</v>
      </c>
      <c r="Y192" s="144"/>
    </row>
    <row r="193" spans="1:25" s="134" customFormat="1" ht="15" customHeight="1" x14ac:dyDescent="0.2">
      <c r="A193" s="95"/>
      <c r="B193" s="95"/>
      <c r="C193" s="95"/>
      <c r="D193" s="234"/>
      <c r="E193" s="146"/>
      <c r="F193" s="151"/>
      <c r="G193" s="151"/>
      <c r="H193" s="151"/>
      <c r="J193" s="151"/>
      <c r="K193" s="151"/>
      <c r="L193" s="151"/>
      <c r="N193" s="151"/>
      <c r="O193" s="151"/>
      <c r="P193" s="151"/>
      <c r="R193" s="151"/>
      <c r="S193" s="151"/>
      <c r="T193" s="151"/>
      <c r="U193" s="151"/>
      <c r="V193" s="151"/>
      <c r="W193" s="151"/>
      <c r="X193" s="151"/>
      <c r="Y193" s="144"/>
    </row>
    <row r="194" spans="1:25" x14ac:dyDescent="0.2">
      <c r="R194" s="208"/>
      <c r="S194" s="208"/>
      <c r="T194" s="208"/>
      <c r="U194" s="208"/>
      <c r="V194" s="208"/>
      <c r="W194" s="208"/>
      <c r="X194" s="208"/>
    </row>
    <row r="195" spans="1:25" x14ac:dyDescent="0.2">
      <c r="A195" s="691" t="s">
        <v>7</v>
      </c>
      <c r="B195" s="692"/>
      <c r="C195" s="693"/>
      <c r="D195" s="188"/>
      <c r="E195" s="189"/>
      <c r="F195" s="190">
        <v>687514.45999999985</v>
      </c>
      <c r="G195" s="190">
        <v>638603.65000000026</v>
      </c>
      <c r="H195" s="190">
        <v>48910.810000000005</v>
      </c>
      <c r="I195" s="257"/>
      <c r="J195" s="190"/>
      <c r="K195" s="190"/>
      <c r="L195" s="190"/>
      <c r="M195" s="257"/>
      <c r="N195" s="190">
        <v>106330.60000000005</v>
      </c>
      <c r="O195" s="190">
        <v>101481.76000000004</v>
      </c>
      <c r="P195" s="190">
        <v>4848.5300000000007</v>
      </c>
      <c r="Q195" s="257"/>
      <c r="R195" s="190">
        <v>16981.393999999997</v>
      </c>
      <c r="S195" s="190">
        <v>16504.433999999997</v>
      </c>
      <c r="T195" s="190">
        <v>476.96</v>
      </c>
      <c r="U195" s="190"/>
      <c r="V195" s="190">
        <v>810826.45399999991</v>
      </c>
      <c r="W195" s="190">
        <v>756589.84400000027</v>
      </c>
      <c r="X195" s="190">
        <v>54236.3</v>
      </c>
      <c r="Y195" s="144"/>
    </row>
    <row r="196" spans="1:25" x14ac:dyDescent="0.2">
      <c r="A196" s="189"/>
      <c r="B196" s="189" t="s">
        <v>229</v>
      </c>
      <c r="C196" s="189"/>
      <c r="D196" s="188"/>
      <c r="E196" s="189"/>
      <c r="F196" s="258"/>
      <c r="G196" s="258"/>
      <c r="H196" s="259"/>
      <c r="I196" s="189"/>
      <c r="J196" s="258"/>
      <c r="K196" s="258"/>
      <c r="L196" s="258"/>
      <c r="M196" s="189"/>
      <c r="N196" s="258"/>
      <c r="O196" s="258"/>
      <c r="P196" s="258"/>
      <c r="Q196" s="189"/>
      <c r="R196" s="258"/>
      <c r="S196" s="258"/>
      <c r="T196" s="258"/>
      <c r="U196" s="258"/>
      <c r="V196" s="258"/>
      <c r="W196" s="258"/>
      <c r="X196" s="258"/>
    </row>
    <row r="197" spans="1:25" x14ac:dyDescent="0.2">
      <c r="A197" s="678" t="s">
        <v>8</v>
      </c>
      <c r="B197" s="678"/>
      <c r="C197" s="678"/>
      <c r="D197" s="195"/>
      <c r="E197" s="195">
        <f>SUMIF($C$6:$C$133,"S",E$6:E$133)</f>
        <v>0</v>
      </c>
      <c r="F197" s="195">
        <v>369704.00000000006</v>
      </c>
      <c r="G197" s="195">
        <v>341422.31</v>
      </c>
      <c r="H197" s="195">
        <v>28281.689999999991</v>
      </c>
      <c r="I197" s="189"/>
      <c r="J197" s="195"/>
      <c r="K197" s="195"/>
      <c r="L197" s="195"/>
      <c r="M197" s="189"/>
      <c r="N197" s="195">
        <v>2183.08</v>
      </c>
      <c r="O197" s="195">
        <v>2172.4499999999998</v>
      </c>
      <c r="P197" s="195">
        <v>10.63</v>
      </c>
      <c r="Q197" s="189"/>
      <c r="R197" s="195">
        <v>12431.933999999999</v>
      </c>
      <c r="S197" s="195">
        <v>11976.223999999998</v>
      </c>
      <c r="T197" s="195">
        <v>455.71</v>
      </c>
      <c r="U197" s="195"/>
      <c r="V197" s="195">
        <v>384319.01400000008</v>
      </c>
      <c r="W197" s="195">
        <v>355570.984</v>
      </c>
      <c r="X197" s="195">
        <v>28748.029999999992</v>
      </c>
      <c r="Y197" s="144"/>
    </row>
    <row r="198" spans="1:25" x14ac:dyDescent="0.2">
      <c r="A198" s="678" t="s">
        <v>9</v>
      </c>
      <c r="B198" s="678"/>
      <c r="C198" s="678"/>
      <c r="D198" s="260"/>
      <c r="E198" s="194"/>
      <c r="F198" s="195">
        <v>147520.5</v>
      </c>
      <c r="G198" s="195">
        <v>139489.72</v>
      </c>
      <c r="H198" s="195">
        <v>8030.7800000000007</v>
      </c>
      <c r="I198" s="189"/>
      <c r="J198" s="195"/>
      <c r="K198" s="195"/>
      <c r="L198" s="195"/>
      <c r="M198" s="189"/>
      <c r="N198" s="195">
        <v>20529.609999999997</v>
      </c>
      <c r="O198" s="195">
        <v>20475.649999999998</v>
      </c>
      <c r="P198" s="195">
        <v>53.96</v>
      </c>
      <c r="Q198" s="189"/>
      <c r="R198" s="195">
        <v>1988.84</v>
      </c>
      <c r="S198" s="195">
        <v>1987.99</v>
      </c>
      <c r="T198" s="195">
        <v>0.85000000000000042</v>
      </c>
      <c r="U198" s="195"/>
      <c r="V198" s="195">
        <v>170038.94999999998</v>
      </c>
      <c r="W198" s="195">
        <v>161953.35999999999</v>
      </c>
      <c r="X198" s="195">
        <v>8085.5900000000011</v>
      </c>
      <c r="Y198" s="144"/>
    </row>
    <row r="199" spans="1:25" x14ac:dyDescent="0.2">
      <c r="A199" s="678" t="s">
        <v>10</v>
      </c>
      <c r="B199" s="678"/>
      <c r="C199" s="678"/>
      <c r="D199" s="260"/>
      <c r="E199" s="194"/>
      <c r="F199" s="195">
        <v>83224.44</v>
      </c>
      <c r="G199" s="195">
        <v>78992.170000000013</v>
      </c>
      <c r="H199" s="195">
        <v>4232.2699999999995</v>
      </c>
      <c r="I199" s="189"/>
      <c r="J199" s="195"/>
      <c r="K199" s="195"/>
      <c r="L199" s="195"/>
      <c r="M199" s="189"/>
      <c r="N199" s="195">
        <v>38744.71</v>
      </c>
      <c r="O199" s="195">
        <v>36411.24</v>
      </c>
      <c r="P199" s="195">
        <v>2333.4599999999996</v>
      </c>
      <c r="Q199" s="189"/>
      <c r="R199" s="195">
        <v>1349.48</v>
      </c>
      <c r="S199" s="195">
        <v>1349.48</v>
      </c>
      <c r="T199" s="195">
        <v>0</v>
      </c>
      <c r="U199" s="195"/>
      <c r="V199" s="195">
        <v>123318.62999999999</v>
      </c>
      <c r="W199" s="195">
        <v>116752.89</v>
      </c>
      <c r="X199" s="195">
        <v>6565.73</v>
      </c>
      <c r="Y199" s="144"/>
    </row>
    <row r="200" spans="1:25" x14ac:dyDescent="0.2">
      <c r="A200" s="678" t="s">
        <v>11</v>
      </c>
      <c r="B200" s="678"/>
      <c r="C200" s="678"/>
      <c r="D200" s="260"/>
      <c r="E200" s="194"/>
      <c r="F200" s="195">
        <v>87065.51999999999</v>
      </c>
      <c r="G200" s="195">
        <v>78699.449999999983</v>
      </c>
      <c r="H200" s="195">
        <v>8366.07</v>
      </c>
      <c r="I200" s="189"/>
      <c r="J200" s="195"/>
      <c r="K200" s="195"/>
      <c r="L200" s="195"/>
      <c r="M200" s="189"/>
      <c r="N200" s="195">
        <v>44873.200000000004</v>
      </c>
      <c r="O200" s="195">
        <v>42422.420000000006</v>
      </c>
      <c r="P200" s="195">
        <v>2450.4800000000005</v>
      </c>
      <c r="Q200" s="189"/>
      <c r="R200" s="195">
        <v>1211.1400000000001</v>
      </c>
      <c r="S200" s="195">
        <v>1190.74</v>
      </c>
      <c r="T200" s="195">
        <v>20.399999999999999</v>
      </c>
      <c r="U200" s="195"/>
      <c r="V200" s="195">
        <v>133149.86000000002</v>
      </c>
      <c r="W200" s="195">
        <v>122312.61</v>
      </c>
      <c r="X200" s="195">
        <v>10836.949999999999</v>
      </c>
      <c r="Y200" s="144"/>
    </row>
    <row r="201" spans="1:25" x14ac:dyDescent="0.2">
      <c r="R201" s="208"/>
      <c r="S201" s="208"/>
      <c r="T201" s="208"/>
      <c r="U201" s="208"/>
      <c r="V201" s="208"/>
      <c r="W201" s="208"/>
      <c r="X201" s="208"/>
    </row>
    <row r="202" spans="1:25" x14ac:dyDescent="0.2">
      <c r="A202" s="679" t="s">
        <v>7</v>
      </c>
      <c r="B202" s="680"/>
      <c r="C202" s="681"/>
      <c r="F202" s="198">
        <v>686938.75999999989</v>
      </c>
      <c r="G202" s="198">
        <v>637528.64999999991</v>
      </c>
      <c r="H202" s="198">
        <v>49410.109999999986</v>
      </c>
      <c r="I202" s="261"/>
      <c r="J202" s="198"/>
      <c r="K202" s="198"/>
      <c r="L202" s="198"/>
      <c r="M202" s="261"/>
      <c r="N202" s="198">
        <v>80437.433539999969</v>
      </c>
      <c r="O202" s="198">
        <v>78871.828739999968</v>
      </c>
      <c r="P202" s="198">
        <v>1565.6048000000001</v>
      </c>
      <c r="Q202" s="261"/>
      <c r="R202" s="198">
        <v>16389.834999999999</v>
      </c>
      <c r="S202" s="198">
        <v>15827.454999999998</v>
      </c>
      <c r="T202" s="198">
        <v>562.12</v>
      </c>
      <c r="U202" s="198"/>
      <c r="V202" s="198">
        <v>783766.02853999985</v>
      </c>
      <c r="W202" s="198">
        <v>732227.93373999989</v>
      </c>
      <c r="X202" s="198">
        <v>51537.83479999999</v>
      </c>
    </row>
    <row r="203" spans="1:25" x14ac:dyDescent="0.2">
      <c r="A203" s="197"/>
      <c r="B203" s="197" t="s">
        <v>230</v>
      </c>
      <c r="C203" s="197"/>
      <c r="F203" s="119"/>
      <c r="G203" s="119"/>
      <c r="H203" s="119"/>
      <c r="J203" s="119"/>
      <c r="K203" s="119"/>
      <c r="L203" s="119"/>
      <c r="N203" s="119"/>
      <c r="O203" s="119"/>
      <c r="P203" s="119"/>
      <c r="V203" s="119"/>
      <c r="W203" s="119"/>
      <c r="X203" s="119"/>
    </row>
    <row r="204" spans="1:25" x14ac:dyDescent="0.2">
      <c r="A204" s="682" t="s">
        <v>8</v>
      </c>
      <c r="B204" s="682"/>
      <c r="C204" s="682"/>
      <c r="F204" s="202">
        <v>374875.77</v>
      </c>
      <c r="G204" s="202">
        <v>347260.35000000003</v>
      </c>
      <c r="H204" s="202">
        <v>27615.420000000002</v>
      </c>
      <c r="I204" s="197"/>
      <c r="J204" s="202"/>
      <c r="K204" s="202"/>
      <c r="L204" s="202"/>
      <c r="M204" s="197"/>
      <c r="N204" s="202">
        <v>2568.2849259999998</v>
      </c>
      <c r="O204" s="202">
        <v>2561.5249259999996</v>
      </c>
      <c r="P204" s="202">
        <v>6.76</v>
      </c>
      <c r="Q204" s="197"/>
      <c r="R204" s="202">
        <v>11404.33</v>
      </c>
      <c r="S204" s="202">
        <v>11255.73</v>
      </c>
      <c r="T204" s="202">
        <v>148.6</v>
      </c>
      <c r="U204" s="202"/>
      <c r="V204" s="202">
        <v>388848.38492600003</v>
      </c>
      <c r="W204" s="202">
        <v>361077.604926</v>
      </c>
      <c r="X204" s="202">
        <v>27770.78</v>
      </c>
    </row>
    <row r="205" spans="1:25" x14ac:dyDescent="0.2">
      <c r="A205" s="682" t="s">
        <v>9</v>
      </c>
      <c r="B205" s="682"/>
      <c r="C205" s="682"/>
      <c r="F205" s="202">
        <v>145432.46</v>
      </c>
      <c r="G205" s="202">
        <v>136951.83999999997</v>
      </c>
      <c r="H205" s="202">
        <v>8480.619999999999</v>
      </c>
      <c r="I205" s="197"/>
      <c r="J205" s="202"/>
      <c r="K205" s="202"/>
      <c r="L205" s="202"/>
      <c r="M205" s="197"/>
      <c r="N205" s="202">
        <v>19680.835339999998</v>
      </c>
      <c r="O205" s="202">
        <v>19568.77534</v>
      </c>
      <c r="P205" s="202">
        <v>112.06</v>
      </c>
      <c r="Q205" s="197"/>
      <c r="R205" s="202">
        <v>2036.9649999999999</v>
      </c>
      <c r="S205" s="202">
        <v>2032.4449999999999</v>
      </c>
      <c r="T205" s="202">
        <v>4.5199999999999996</v>
      </c>
      <c r="U205" s="202"/>
      <c r="V205" s="202">
        <v>167150.26033999998</v>
      </c>
      <c r="W205" s="202">
        <v>158553.06033999997</v>
      </c>
      <c r="X205" s="202">
        <v>8597.1999999999989</v>
      </c>
    </row>
    <row r="206" spans="1:25" x14ac:dyDescent="0.2">
      <c r="A206" s="682" t="s">
        <v>10</v>
      </c>
      <c r="B206" s="682"/>
      <c r="C206" s="682"/>
      <c r="F206" s="202">
        <v>84300.34</v>
      </c>
      <c r="G206" s="202">
        <v>79000.91</v>
      </c>
      <c r="H206" s="202">
        <v>5299.4299999999994</v>
      </c>
      <c r="I206" s="197"/>
      <c r="J206" s="202"/>
      <c r="K206" s="202"/>
      <c r="L206" s="202"/>
      <c r="M206" s="197"/>
      <c r="N206" s="202">
        <v>27221.148804</v>
      </c>
      <c r="O206" s="202">
        <v>27101.608804</v>
      </c>
      <c r="P206" s="202">
        <v>119.53999999999999</v>
      </c>
      <c r="Q206" s="197"/>
      <c r="R206" s="202">
        <v>1919.6399999999999</v>
      </c>
      <c r="S206" s="202">
        <v>1579.6399999999999</v>
      </c>
      <c r="T206" s="202">
        <v>340</v>
      </c>
      <c r="U206" s="202"/>
      <c r="V206" s="202">
        <v>113441.12880399999</v>
      </c>
      <c r="W206" s="202">
        <v>107682.15880400001</v>
      </c>
      <c r="X206" s="202">
        <v>5758.9699999999993</v>
      </c>
    </row>
    <row r="207" spans="1:25" x14ac:dyDescent="0.2">
      <c r="A207" s="682" t="s">
        <v>11</v>
      </c>
      <c r="B207" s="682"/>
      <c r="C207" s="682"/>
      <c r="F207" s="202">
        <v>82330.189999999988</v>
      </c>
      <c r="G207" s="202">
        <v>74315.549999999974</v>
      </c>
      <c r="H207" s="202">
        <v>8014.6399999999985</v>
      </c>
      <c r="I207" s="197"/>
      <c r="J207" s="202"/>
      <c r="K207" s="202"/>
      <c r="L207" s="202"/>
      <c r="M207" s="197"/>
      <c r="N207" s="202">
        <v>30967.164470000003</v>
      </c>
      <c r="O207" s="202">
        <v>29639.919669999999</v>
      </c>
      <c r="P207" s="202">
        <v>1327.2448000000002</v>
      </c>
      <c r="Q207" s="197"/>
      <c r="R207" s="202">
        <v>1028.9000000000001</v>
      </c>
      <c r="S207" s="202">
        <v>959.64</v>
      </c>
      <c r="T207" s="202">
        <v>69</v>
      </c>
      <c r="U207" s="202"/>
      <c r="V207" s="202">
        <v>114326.25446999999</v>
      </c>
      <c r="W207" s="202">
        <v>104915.10966999998</v>
      </c>
      <c r="X207" s="202">
        <v>9410.884799999998</v>
      </c>
    </row>
  </sheetData>
  <mergeCells count="57">
    <mergeCell ref="A155:C155"/>
    <mergeCell ref="A139:C139"/>
    <mergeCell ref="A1:T1"/>
    <mergeCell ref="F3:H3"/>
    <mergeCell ref="J3:L3"/>
    <mergeCell ref="N3:P3"/>
    <mergeCell ref="R3:T3"/>
    <mergeCell ref="A142:C142"/>
    <mergeCell ref="A144:C144"/>
    <mergeCell ref="A145:C145"/>
    <mergeCell ref="A146:C146"/>
    <mergeCell ref="A147:C147"/>
    <mergeCell ref="AB3:AD3"/>
    <mergeCell ref="A135:C135"/>
    <mergeCell ref="A136:C136"/>
    <mergeCell ref="A138:C138"/>
    <mergeCell ref="V3:X3"/>
    <mergeCell ref="A173:C173"/>
    <mergeCell ref="A140:C140"/>
    <mergeCell ref="A159:C159"/>
    <mergeCell ref="A161:C161"/>
    <mergeCell ref="A162:C162"/>
    <mergeCell ref="A163:C163"/>
    <mergeCell ref="A164:C164"/>
    <mergeCell ref="A166:C166"/>
    <mergeCell ref="A168:C168"/>
    <mergeCell ref="A169:C169"/>
    <mergeCell ref="A170:C170"/>
    <mergeCell ref="A171:C171"/>
    <mergeCell ref="A150:C150"/>
    <mergeCell ref="A152:C152"/>
    <mergeCell ref="A153:C153"/>
    <mergeCell ref="A154:C154"/>
    <mergeCell ref="A190:C190"/>
    <mergeCell ref="A175:C175"/>
    <mergeCell ref="A176:C176"/>
    <mergeCell ref="A177:C177"/>
    <mergeCell ref="A178:C178"/>
    <mergeCell ref="A180:C180"/>
    <mergeCell ref="A182:C182"/>
    <mergeCell ref="A183:C183"/>
    <mergeCell ref="A184:C184"/>
    <mergeCell ref="A185:C185"/>
    <mergeCell ref="A187:C187"/>
    <mergeCell ref="A189:C189"/>
    <mergeCell ref="A207:C207"/>
    <mergeCell ref="A191:C191"/>
    <mergeCell ref="A192:C192"/>
    <mergeCell ref="A195:C195"/>
    <mergeCell ref="A197:C197"/>
    <mergeCell ref="A198:C198"/>
    <mergeCell ref="A199:C199"/>
    <mergeCell ref="A200:C200"/>
    <mergeCell ref="A202:C202"/>
    <mergeCell ref="A204:C204"/>
    <mergeCell ref="A205:C205"/>
    <mergeCell ref="A206:C206"/>
  </mergeCells>
  <hyperlinks>
    <hyperlink ref="D64" location="'2009-10'!A160" display="Bottom" xr:uid="{698A5276-FF98-4AE3-876D-5E25A2AC8BFF}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81CF3-1B59-4D0C-A66A-38C361C955F6}">
  <dimension ref="A1:AJ209"/>
  <sheetViews>
    <sheetView workbookViewId="0">
      <pane xSplit="3" ySplit="4" topLeftCell="D5" activePane="bottomRight" state="frozen"/>
      <selection activeCell="W135" sqref="W135"/>
      <selection pane="topRight" activeCell="W135" sqref="W135"/>
      <selection pane="bottomLeft" activeCell="W135" sqref="W135"/>
      <selection pane="bottomRight" activeCell="AI132" sqref="AI132:AI144"/>
    </sheetView>
  </sheetViews>
  <sheetFormatPr defaultColWidth="9.140625" defaultRowHeight="12.75" x14ac:dyDescent="0.2"/>
  <cols>
    <col min="1" max="1" width="8" style="119" bestFit="1" customWidth="1"/>
    <col min="2" max="2" width="26" style="119" bestFit="1" customWidth="1"/>
    <col min="3" max="3" width="15.140625" style="119" bestFit="1" customWidth="1"/>
    <col min="4" max="4" width="3" style="216" bestFit="1" customWidth="1"/>
    <col min="5" max="5" width="1.7109375" style="119" customWidth="1"/>
    <col min="6" max="6" width="8.42578125" style="208" bestFit="1" customWidth="1"/>
    <col min="7" max="7" width="8.28515625" style="208" bestFit="1" customWidth="1"/>
    <col min="8" max="8" width="8.42578125" style="208" bestFit="1" customWidth="1"/>
    <col min="9" max="9" width="1.7109375" style="119" customWidth="1"/>
    <col min="10" max="10" width="9.7109375" style="208" bestFit="1" customWidth="1"/>
    <col min="11" max="11" width="14.140625" style="208" customWidth="1"/>
    <col min="12" max="12" width="8.42578125" style="208" bestFit="1" customWidth="1"/>
    <col min="13" max="13" width="0.85546875" style="119" customWidth="1"/>
    <col min="14" max="14" width="8.42578125" style="208" bestFit="1" customWidth="1"/>
    <col min="15" max="15" width="9.28515625" style="208" customWidth="1"/>
    <col min="16" max="16" width="8.42578125" style="208" bestFit="1" customWidth="1"/>
    <col min="17" max="17" width="0.85546875" style="119" customWidth="1"/>
    <col min="18" max="18" width="8.42578125" style="119" bestFit="1" customWidth="1"/>
    <col min="19" max="19" width="9.42578125" style="119" bestFit="1" customWidth="1"/>
    <col min="20" max="20" width="8.42578125" style="119" bestFit="1" customWidth="1"/>
    <col min="21" max="21" width="0.85546875" style="119" customWidth="1"/>
    <col min="22" max="22" width="10.5703125" bestFit="1" customWidth="1"/>
    <col min="23" max="24" width="8.85546875" customWidth="1"/>
    <col min="25" max="25" width="2.7109375" style="119" customWidth="1"/>
    <col min="26" max="28" width="9.28515625" style="119" bestFit="1" customWidth="1"/>
    <col min="29" max="29" width="2.7109375" style="119" customWidth="1"/>
    <col min="30" max="32" width="8.42578125" style="119" customWidth="1"/>
    <col min="33" max="33" width="0.85546875" style="119" customWidth="1"/>
    <col min="34" max="16384" width="9.140625" style="119"/>
  </cols>
  <sheetData>
    <row r="1" spans="1:36" s="113" customFormat="1" ht="15.75" x14ac:dyDescent="0.25">
      <c r="A1" s="717" t="s">
        <v>444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  <c r="U1" s="717"/>
      <c r="V1" s="717"/>
      <c r="W1" s="717"/>
      <c r="X1" s="718"/>
    </row>
    <row r="2" spans="1:36" s="220" customFormat="1" ht="15.75" x14ac:dyDescent="0.25">
      <c r="A2" s="218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219"/>
      <c r="AF2" s="219"/>
      <c r="AG2" s="117"/>
    </row>
    <row r="3" spans="1:36" ht="15.75" x14ac:dyDescent="0.25">
      <c r="A3" s="115"/>
      <c r="B3" s="219" t="s">
        <v>440</v>
      </c>
      <c r="C3" s="117"/>
      <c r="D3" s="222"/>
      <c r="E3" s="222"/>
      <c r="F3" s="727" t="s">
        <v>353</v>
      </c>
      <c r="G3" s="728"/>
      <c r="H3" s="728"/>
      <c r="I3" s="222"/>
      <c r="J3" s="727" t="s">
        <v>354</v>
      </c>
      <c r="K3" s="729"/>
      <c r="L3" s="729"/>
      <c r="M3" s="222"/>
      <c r="N3" s="727" t="s">
        <v>355</v>
      </c>
      <c r="O3" s="729"/>
      <c r="P3" s="729"/>
      <c r="Q3" s="222"/>
      <c r="R3" s="727" t="s">
        <v>356</v>
      </c>
      <c r="S3" s="728"/>
      <c r="T3" s="728"/>
      <c r="U3" s="222"/>
      <c r="V3" s="725" t="s">
        <v>357</v>
      </c>
      <c r="W3" s="726"/>
      <c r="X3" s="726"/>
      <c r="Z3" s="727" t="s">
        <v>334</v>
      </c>
      <c r="AA3" s="729"/>
      <c r="AB3" s="729"/>
      <c r="AD3" s="511" t="s">
        <v>358</v>
      </c>
      <c r="AE3" s="511"/>
      <c r="AF3" s="511"/>
      <c r="AG3" s="222"/>
    </row>
    <row r="4" spans="1:36" ht="36" x14ac:dyDescent="0.2">
      <c r="A4" s="7" t="s">
        <v>35</v>
      </c>
      <c r="B4" s="33" t="s">
        <v>36</v>
      </c>
      <c r="C4" s="32" t="s">
        <v>14</v>
      </c>
      <c r="D4" s="34" t="s">
        <v>4</v>
      </c>
      <c r="E4" s="224"/>
      <c r="F4" s="35" t="s">
        <v>450</v>
      </c>
      <c r="G4" s="35" t="s">
        <v>451</v>
      </c>
      <c r="H4" s="35" t="s">
        <v>452</v>
      </c>
      <c r="I4" s="224"/>
      <c r="J4" s="35" t="s">
        <v>450</v>
      </c>
      <c r="K4" s="35" t="s">
        <v>451</v>
      </c>
      <c r="L4" s="35" t="s">
        <v>452</v>
      </c>
      <c r="M4" s="512"/>
      <c r="N4" s="35" t="s">
        <v>450</v>
      </c>
      <c r="O4" s="35" t="s">
        <v>451</v>
      </c>
      <c r="P4" s="35" t="s">
        <v>452</v>
      </c>
      <c r="Q4" s="224"/>
      <c r="R4" s="35" t="s">
        <v>450</v>
      </c>
      <c r="S4" s="35" t="s">
        <v>451</v>
      </c>
      <c r="T4" s="35" t="s">
        <v>452</v>
      </c>
      <c r="U4" s="224"/>
      <c r="V4" s="35" t="s">
        <v>450</v>
      </c>
      <c r="W4" s="35" t="s">
        <v>451</v>
      </c>
      <c r="X4" s="35" t="s">
        <v>452</v>
      </c>
      <c r="Z4" s="35" t="s">
        <v>359</v>
      </c>
      <c r="AA4" s="35" t="s">
        <v>360</v>
      </c>
      <c r="AB4" s="35" t="s">
        <v>361</v>
      </c>
      <c r="AD4" s="107" t="s">
        <v>240</v>
      </c>
      <c r="AE4" s="107" t="s">
        <v>241</v>
      </c>
      <c r="AF4" s="107" t="s">
        <v>242</v>
      </c>
      <c r="AG4" s="224"/>
      <c r="AH4"/>
      <c r="AI4"/>
      <c r="AJ4"/>
    </row>
    <row r="5" spans="1:36" x14ac:dyDescent="0.2">
      <c r="A5" s="9">
        <v>10050</v>
      </c>
      <c r="B5" s="9" t="s">
        <v>71</v>
      </c>
      <c r="C5" s="9" t="s">
        <v>66</v>
      </c>
      <c r="D5" s="29" t="s">
        <v>1</v>
      </c>
      <c r="E5" s="226"/>
      <c r="F5" s="1">
        <v>0</v>
      </c>
      <c r="G5" s="1">
        <v>0</v>
      </c>
      <c r="H5" s="1">
        <v>0</v>
      </c>
      <c r="I5" s="226">
        <v>1</v>
      </c>
      <c r="J5" s="1">
        <v>11878.99</v>
      </c>
      <c r="K5" s="1">
        <v>11863.55</v>
      </c>
      <c r="L5" s="1">
        <v>15.44</v>
      </c>
      <c r="M5" s="513"/>
      <c r="N5" s="1">
        <v>7900.9</v>
      </c>
      <c r="O5" s="1">
        <v>7900.9</v>
      </c>
      <c r="P5" s="1">
        <v>0</v>
      </c>
      <c r="Q5" s="226"/>
      <c r="R5" s="1">
        <v>0</v>
      </c>
      <c r="S5" s="1">
        <v>0</v>
      </c>
      <c r="T5" s="1">
        <v>0</v>
      </c>
      <c r="U5" s="226"/>
      <c r="V5" s="1">
        <f>F5+J5+N5+R5</f>
        <v>19779.89</v>
      </c>
      <c r="W5" s="1">
        <f>G5+K5+O5+S5</f>
        <v>19764.449999999997</v>
      </c>
      <c r="X5" s="1">
        <f>H5+L5+P5+T5</f>
        <v>15.44</v>
      </c>
      <c r="Z5" s="1">
        <f t="shared" ref="Z5:AB68" si="0">F5+J5</f>
        <v>11878.99</v>
      </c>
      <c r="AA5" s="1">
        <f t="shared" si="0"/>
        <v>11863.55</v>
      </c>
      <c r="AB5" s="1">
        <f t="shared" si="0"/>
        <v>15.44</v>
      </c>
      <c r="AD5" s="227">
        <v>1132.42</v>
      </c>
      <c r="AE5" s="227">
        <v>1132.42</v>
      </c>
      <c r="AF5" s="227">
        <v>0</v>
      </c>
      <c r="AG5" s="226"/>
      <c r="AH5" s="514"/>
    </row>
    <row r="6" spans="1:36" x14ac:dyDescent="0.2">
      <c r="A6" s="8">
        <v>10180</v>
      </c>
      <c r="B6" s="8" t="s">
        <v>72</v>
      </c>
      <c r="C6" s="8" t="s">
        <v>16</v>
      </c>
      <c r="D6" s="29" t="s">
        <v>1</v>
      </c>
      <c r="E6" s="226"/>
      <c r="F6" s="1">
        <v>0</v>
      </c>
      <c r="G6" s="1">
        <v>0</v>
      </c>
      <c r="H6" s="1">
        <v>0</v>
      </c>
      <c r="I6" s="226">
        <v>1</v>
      </c>
      <c r="J6" s="1">
        <v>3173</v>
      </c>
      <c r="K6" s="1">
        <v>3163</v>
      </c>
      <c r="L6" s="1">
        <v>10</v>
      </c>
      <c r="M6" s="513"/>
      <c r="N6" s="1">
        <v>0</v>
      </c>
      <c r="O6" s="1">
        <v>0</v>
      </c>
      <c r="P6" s="1">
        <v>0</v>
      </c>
      <c r="Q6" s="226"/>
      <c r="R6" s="1">
        <v>0</v>
      </c>
      <c r="S6" s="1">
        <v>0</v>
      </c>
      <c r="T6" s="1">
        <v>0</v>
      </c>
      <c r="U6" s="226"/>
      <c r="V6" s="1">
        <f t="shared" ref="V6:X69" si="1">F6+J6+N6+R6</f>
        <v>3173</v>
      </c>
      <c r="W6" s="1">
        <f t="shared" si="1"/>
        <v>3163</v>
      </c>
      <c r="X6" s="1">
        <f t="shared" si="1"/>
        <v>10</v>
      </c>
      <c r="Z6" s="1">
        <f t="shared" si="0"/>
        <v>3173</v>
      </c>
      <c r="AA6" s="1">
        <f t="shared" si="0"/>
        <v>3163</v>
      </c>
      <c r="AB6" s="1">
        <f t="shared" si="0"/>
        <v>10</v>
      </c>
      <c r="AD6" s="227">
        <v>505</v>
      </c>
      <c r="AE6" s="227">
        <v>505</v>
      </c>
      <c r="AF6" s="227">
        <v>0</v>
      </c>
      <c r="AG6" s="226"/>
      <c r="AH6" s="514"/>
    </row>
    <row r="7" spans="1:36" x14ac:dyDescent="0.2">
      <c r="A7" s="8">
        <v>10250</v>
      </c>
      <c r="B7" s="8" t="s">
        <v>73</v>
      </c>
      <c r="C7" s="8" t="s">
        <v>19</v>
      </c>
      <c r="D7" s="29" t="s">
        <v>3</v>
      </c>
      <c r="E7" s="226"/>
      <c r="F7" s="1">
        <v>0</v>
      </c>
      <c r="G7" s="1">
        <v>0</v>
      </c>
      <c r="H7" s="1">
        <v>0</v>
      </c>
      <c r="I7" s="226">
        <v>1</v>
      </c>
      <c r="J7" s="1">
        <v>7111</v>
      </c>
      <c r="K7" s="1">
        <v>7011</v>
      </c>
      <c r="L7" s="1">
        <v>100</v>
      </c>
      <c r="M7" s="513"/>
      <c r="N7" s="1">
        <v>1384</v>
      </c>
      <c r="O7" s="1">
        <v>1384</v>
      </c>
      <c r="P7" s="1">
        <v>0</v>
      </c>
      <c r="Q7" s="226"/>
      <c r="R7" s="1">
        <v>0</v>
      </c>
      <c r="S7" s="1">
        <v>0</v>
      </c>
      <c r="T7" s="1">
        <v>0</v>
      </c>
      <c r="U7" s="226"/>
      <c r="V7" s="1">
        <f t="shared" si="1"/>
        <v>8495</v>
      </c>
      <c r="W7" s="1">
        <f t="shared" si="1"/>
        <v>8395</v>
      </c>
      <c r="X7" s="1">
        <f t="shared" si="1"/>
        <v>100</v>
      </c>
      <c r="Z7" s="1">
        <f t="shared" si="0"/>
        <v>7111</v>
      </c>
      <c r="AA7" s="1">
        <f t="shared" si="0"/>
        <v>7011</v>
      </c>
      <c r="AB7" s="1">
        <f t="shared" si="0"/>
        <v>100</v>
      </c>
      <c r="AD7" s="227">
        <v>386</v>
      </c>
      <c r="AE7" s="227">
        <v>386</v>
      </c>
      <c r="AF7" s="227">
        <v>0</v>
      </c>
      <c r="AG7" s="226"/>
      <c r="AH7" s="514"/>
    </row>
    <row r="8" spans="1:36" x14ac:dyDescent="0.2">
      <c r="A8" s="8">
        <v>10300</v>
      </c>
      <c r="B8" s="8" t="s">
        <v>74</v>
      </c>
      <c r="C8" s="8" t="s">
        <v>66</v>
      </c>
      <c r="D8" s="29" t="s">
        <v>1</v>
      </c>
      <c r="E8" s="226"/>
      <c r="F8" s="1">
        <v>0</v>
      </c>
      <c r="G8" s="1">
        <v>0</v>
      </c>
      <c r="H8" s="1">
        <v>0</v>
      </c>
      <c r="I8" s="226"/>
      <c r="J8" s="1">
        <v>0</v>
      </c>
      <c r="K8" s="1">
        <v>0</v>
      </c>
      <c r="L8" s="1">
        <v>0</v>
      </c>
      <c r="M8" s="513"/>
      <c r="N8" s="1">
        <v>0</v>
      </c>
      <c r="O8" s="1">
        <v>0</v>
      </c>
      <c r="P8" s="1">
        <v>0</v>
      </c>
      <c r="Q8" s="226"/>
      <c r="R8" s="1">
        <v>0</v>
      </c>
      <c r="S8" s="1">
        <v>0</v>
      </c>
      <c r="T8" s="1">
        <v>0</v>
      </c>
      <c r="U8" s="226"/>
      <c r="V8" s="1">
        <f t="shared" si="1"/>
        <v>0</v>
      </c>
      <c r="W8" s="1">
        <f t="shared" si="1"/>
        <v>0</v>
      </c>
      <c r="X8" s="1">
        <f t="shared" si="1"/>
        <v>0</v>
      </c>
      <c r="Z8" s="1">
        <f t="shared" si="0"/>
        <v>0</v>
      </c>
      <c r="AA8" s="1">
        <f t="shared" si="0"/>
        <v>0</v>
      </c>
      <c r="AB8" s="1">
        <f t="shared" si="0"/>
        <v>0</v>
      </c>
      <c r="AD8" s="227">
        <v>0</v>
      </c>
      <c r="AE8" s="227">
        <v>0</v>
      </c>
      <c r="AF8" s="227">
        <v>0</v>
      </c>
      <c r="AG8" s="226"/>
      <c r="AH8" s="514"/>
    </row>
    <row r="9" spans="1:36" x14ac:dyDescent="0.2">
      <c r="A9" s="8">
        <v>10470</v>
      </c>
      <c r="B9" s="8" t="s">
        <v>75</v>
      </c>
      <c r="C9" s="8" t="s">
        <v>38</v>
      </c>
      <c r="D9" s="29" t="s">
        <v>1</v>
      </c>
      <c r="E9" s="226"/>
      <c r="F9" s="1">
        <v>0</v>
      </c>
      <c r="G9" s="1">
        <v>0</v>
      </c>
      <c r="H9" s="1">
        <v>0</v>
      </c>
      <c r="I9" s="226">
        <v>1</v>
      </c>
      <c r="J9" s="1">
        <v>4759</v>
      </c>
      <c r="K9" s="1">
        <v>4759</v>
      </c>
      <c r="L9" s="1">
        <v>0</v>
      </c>
      <c r="M9" s="513"/>
      <c r="N9" s="1">
        <v>1472.35</v>
      </c>
      <c r="O9" s="1">
        <v>1472.35</v>
      </c>
      <c r="P9" s="1">
        <v>0</v>
      </c>
      <c r="Q9" s="226"/>
      <c r="R9" s="1">
        <v>0</v>
      </c>
      <c r="S9" s="1">
        <v>0</v>
      </c>
      <c r="T9" s="1">
        <v>0</v>
      </c>
      <c r="U9" s="226"/>
      <c r="V9" s="1">
        <f t="shared" si="1"/>
        <v>6231.35</v>
      </c>
      <c r="W9" s="1">
        <f t="shared" si="1"/>
        <v>6231.35</v>
      </c>
      <c r="X9" s="1">
        <f t="shared" si="1"/>
        <v>0</v>
      </c>
      <c r="Z9" s="1">
        <f t="shared" si="0"/>
        <v>4759</v>
      </c>
      <c r="AA9" s="1">
        <f t="shared" si="0"/>
        <v>4759</v>
      </c>
      <c r="AB9" s="1">
        <f t="shared" si="0"/>
        <v>0</v>
      </c>
      <c r="AD9" s="227">
        <v>576.46</v>
      </c>
      <c r="AE9" s="227">
        <v>576.46</v>
      </c>
      <c r="AF9" s="227">
        <v>0</v>
      </c>
      <c r="AG9" s="226"/>
      <c r="AH9" s="514"/>
    </row>
    <row r="10" spans="1:36" x14ac:dyDescent="0.2">
      <c r="A10" s="8">
        <v>10500</v>
      </c>
      <c r="B10" s="8" t="s">
        <v>405</v>
      </c>
      <c r="C10" s="8" t="s">
        <v>17</v>
      </c>
      <c r="D10" s="29" t="s">
        <v>2</v>
      </c>
      <c r="E10" s="226">
        <v>1</v>
      </c>
      <c r="F10" s="1">
        <v>2040</v>
      </c>
      <c r="G10" s="1">
        <v>1999</v>
      </c>
      <c r="H10" s="1">
        <v>41</v>
      </c>
      <c r="I10" s="226"/>
      <c r="J10" s="1">
        <v>0</v>
      </c>
      <c r="K10" s="1">
        <v>0</v>
      </c>
      <c r="L10" s="1">
        <v>0</v>
      </c>
      <c r="M10" s="513"/>
      <c r="N10" s="1">
        <v>77.16</v>
      </c>
      <c r="O10" s="1">
        <v>75.61999999999999</v>
      </c>
      <c r="P10" s="1">
        <v>1.54</v>
      </c>
      <c r="Q10" s="226"/>
      <c r="R10" s="1">
        <v>0</v>
      </c>
      <c r="S10" s="1">
        <v>0</v>
      </c>
      <c r="T10" s="1">
        <v>0</v>
      </c>
      <c r="U10" s="226"/>
      <c r="V10" s="1">
        <f t="shared" si="1"/>
        <v>2117.16</v>
      </c>
      <c r="W10" s="1">
        <f t="shared" si="1"/>
        <v>2074.62</v>
      </c>
      <c r="X10" s="1">
        <f t="shared" si="1"/>
        <v>42.54</v>
      </c>
      <c r="Z10" s="1">
        <f t="shared" si="0"/>
        <v>2040</v>
      </c>
      <c r="AA10" s="1">
        <f t="shared" si="0"/>
        <v>1999</v>
      </c>
      <c r="AB10" s="1">
        <f t="shared" si="0"/>
        <v>41</v>
      </c>
      <c r="AD10" s="227">
        <v>0</v>
      </c>
      <c r="AE10" s="227">
        <v>0</v>
      </c>
      <c r="AF10" s="227">
        <v>0</v>
      </c>
      <c r="AG10" s="226"/>
      <c r="AH10" s="514"/>
    </row>
    <row r="11" spans="1:36" x14ac:dyDescent="0.2">
      <c r="A11" s="8">
        <v>10550</v>
      </c>
      <c r="B11" s="8" t="s">
        <v>76</v>
      </c>
      <c r="C11" s="8" t="s">
        <v>67</v>
      </c>
      <c r="D11" s="29" t="s">
        <v>1</v>
      </c>
      <c r="E11" s="226"/>
      <c r="F11" s="1">
        <v>0</v>
      </c>
      <c r="G11" s="1">
        <v>0</v>
      </c>
      <c r="H11" s="1">
        <v>0</v>
      </c>
      <c r="I11" s="226">
        <v>1</v>
      </c>
      <c r="J11" s="1">
        <v>5500</v>
      </c>
      <c r="K11" s="1">
        <v>4216.67</v>
      </c>
      <c r="L11" s="1">
        <v>1283.33</v>
      </c>
      <c r="M11" s="513"/>
      <c r="N11" s="1">
        <v>4070</v>
      </c>
      <c r="O11" s="1">
        <v>4070</v>
      </c>
      <c r="P11" s="1">
        <v>0</v>
      </c>
      <c r="Q11" s="226"/>
      <c r="R11" s="1">
        <v>0</v>
      </c>
      <c r="S11" s="1">
        <v>0</v>
      </c>
      <c r="T11" s="1">
        <v>0</v>
      </c>
      <c r="U11" s="226"/>
      <c r="V11" s="1">
        <f t="shared" si="1"/>
        <v>9570</v>
      </c>
      <c r="W11" s="1">
        <f t="shared" si="1"/>
        <v>8286.67</v>
      </c>
      <c r="X11" s="1">
        <f t="shared" si="1"/>
        <v>1283.33</v>
      </c>
      <c r="Z11" s="1">
        <f t="shared" si="0"/>
        <v>5500</v>
      </c>
      <c r="AA11" s="1">
        <f t="shared" si="0"/>
        <v>4216.67</v>
      </c>
      <c r="AB11" s="1">
        <f t="shared" si="0"/>
        <v>1283.33</v>
      </c>
      <c r="AD11" s="227">
        <v>0</v>
      </c>
      <c r="AE11" s="227">
        <v>0</v>
      </c>
      <c r="AF11" s="227">
        <v>0</v>
      </c>
      <c r="AG11" s="226"/>
      <c r="AH11" s="514"/>
    </row>
    <row r="12" spans="1:36" x14ac:dyDescent="0.2">
      <c r="A12" s="8">
        <v>10600</v>
      </c>
      <c r="B12" s="8" t="s">
        <v>44</v>
      </c>
      <c r="C12" s="8" t="s">
        <v>39</v>
      </c>
      <c r="D12" s="29" t="s">
        <v>3</v>
      </c>
      <c r="E12" s="226"/>
      <c r="F12" s="1">
        <v>0</v>
      </c>
      <c r="G12" s="1">
        <v>0</v>
      </c>
      <c r="H12" s="1">
        <v>0</v>
      </c>
      <c r="I12" s="226">
        <v>1</v>
      </c>
      <c r="J12" s="1">
        <v>1755.6</v>
      </c>
      <c r="K12" s="1">
        <v>1735.24</v>
      </c>
      <c r="L12" s="1">
        <v>20.36</v>
      </c>
      <c r="M12" s="513"/>
      <c r="N12" s="1">
        <v>610</v>
      </c>
      <c r="O12" s="1">
        <v>610</v>
      </c>
      <c r="P12" s="1">
        <v>0</v>
      </c>
      <c r="Q12" s="226"/>
      <c r="R12" s="1">
        <v>0</v>
      </c>
      <c r="S12" s="1">
        <v>0</v>
      </c>
      <c r="T12" s="1">
        <v>0</v>
      </c>
      <c r="U12" s="226"/>
      <c r="V12" s="1">
        <f t="shared" si="1"/>
        <v>2365.6</v>
      </c>
      <c r="W12" s="1">
        <f t="shared" si="1"/>
        <v>2345.2399999999998</v>
      </c>
      <c r="X12" s="1">
        <f t="shared" si="1"/>
        <v>20.36</v>
      </c>
      <c r="Z12" s="1">
        <f t="shared" si="0"/>
        <v>1755.6</v>
      </c>
      <c r="AA12" s="1">
        <f t="shared" si="0"/>
        <v>1735.24</v>
      </c>
      <c r="AB12" s="1">
        <f t="shared" si="0"/>
        <v>20.36</v>
      </c>
      <c r="AD12" s="227">
        <v>0</v>
      </c>
      <c r="AE12" s="227">
        <v>0</v>
      </c>
      <c r="AF12" s="227">
        <v>0</v>
      </c>
      <c r="AG12" s="226"/>
      <c r="AH12" s="514"/>
    </row>
    <row r="13" spans="1:36" x14ac:dyDescent="0.2">
      <c r="A13" s="8">
        <v>10650</v>
      </c>
      <c r="B13" s="8" t="s">
        <v>77</v>
      </c>
      <c r="C13" s="8" t="s">
        <v>66</v>
      </c>
      <c r="D13" s="29" t="s">
        <v>1</v>
      </c>
      <c r="E13" s="226"/>
      <c r="F13" s="1">
        <v>0</v>
      </c>
      <c r="G13" s="1">
        <v>0</v>
      </c>
      <c r="H13" s="1">
        <v>0</v>
      </c>
      <c r="I13" s="226"/>
      <c r="J13" s="1">
        <v>0</v>
      </c>
      <c r="K13" s="1">
        <v>0</v>
      </c>
      <c r="L13" s="1">
        <v>0</v>
      </c>
      <c r="M13" s="513"/>
      <c r="N13" s="1">
        <v>467</v>
      </c>
      <c r="O13" s="1">
        <v>467</v>
      </c>
      <c r="P13" s="1">
        <v>0</v>
      </c>
      <c r="Q13" s="226"/>
      <c r="R13" s="1">
        <v>0</v>
      </c>
      <c r="S13" s="1">
        <v>0</v>
      </c>
      <c r="T13" s="1">
        <v>0</v>
      </c>
      <c r="U13" s="226"/>
      <c r="V13" s="1">
        <f t="shared" si="1"/>
        <v>467</v>
      </c>
      <c r="W13" s="1">
        <f t="shared" si="1"/>
        <v>467</v>
      </c>
      <c r="X13" s="1">
        <f t="shared" si="1"/>
        <v>0</v>
      </c>
      <c r="Z13" s="1">
        <f t="shared" si="0"/>
        <v>0</v>
      </c>
      <c r="AA13" s="1">
        <f t="shared" si="0"/>
        <v>0</v>
      </c>
      <c r="AB13" s="1">
        <f t="shared" si="0"/>
        <v>0</v>
      </c>
      <c r="AD13" s="227">
        <v>0</v>
      </c>
      <c r="AE13" s="227">
        <v>0</v>
      </c>
      <c r="AF13" s="227">
        <v>0</v>
      </c>
      <c r="AG13" s="226"/>
      <c r="AH13" s="514"/>
    </row>
    <row r="14" spans="1:36" x14ac:dyDescent="0.2">
      <c r="A14" s="8">
        <v>10750</v>
      </c>
      <c r="B14" s="8" t="s">
        <v>45</v>
      </c>
      <c r="C14" s="8" t="s">
        <v>18</v>
      </c>
      <c r="D14" s="29" t="s">
        <v>2</v>
      </c>
      <c r="E14" s="226"/>
      <c r="F14" s="1">
        <v>0</v>
      </c>
      <c r="G14" s="1">
        <v>0</v>
      </c>
      <c r="H14" s="1">
        <v>0</v>
      </c>
      <c r="I14" s="226"/>
      <c r="J14" s="1">
        <v>0</v>
      </c>
      <c r="K14" s="1">
        <v>0</v>
      </c>
      <c r="L14" s="1">
        <v>0</v>
      </c>
      <c r="M14" s="513"/>
      <c r="N14" s="1">
        <v>0</v>
      </c>
      <c r="O14" s="1">
        <v>0</v>
      </c>
      <c r="P14" s="1">
        <v>0</v>
      </c>
      <c r="Q14" s="226"/>
      <c r="R14" s="1">
        <v>0</v>
      </c>
      <c r="S14" s="1">
        <v>0</v>
      </c>
      <c r="T14" s="1">
        <v>0</v>
      </c>
      <c r="U14" s="226"/>
      <c r="V14" s="1">
        <f t="shared" si="1"/>
        <v>0</v>
      </c>
      <c r="W14" s="1">
        <f t="shared" si="1"/>
        <v>0</v>
      </c>
      <c r="X14" s="1">
        <f t="shared" si="1"/>
        <v>0</v>
      </c>
      <c r="Z14" s="1">
        <f t="shared" si="0"/>
        <v>0</v>
      </c>
      <c r="AA14" s="1">
        <f t="shared" si="0"/>
        <v>0</v>
      </c>
      <c r="AB14" s="1">
        <f t="shared" si="0"/>
        <v>0</v>
      </c>
      <c r="AD14" s="227">
        <v>0</v>
      </c>
      <c r="AE14" s="227">
        <v>0</v>
      </c>
      <c r="AF14" s="227">
        <v>0</v>
      </c>
      <c r="AG14" s="226"/>
      <c r="AH14" s="514"/>
    </row>
    <row r="15" spans="1:36" x14ac:dyDescent="0.2">
      <c r="A15" s="8">
        <v>10800</v>
      </c>
      <c r="B15" s="8" t="s">
        <v>78</v>
      </c>
      <c r="C15" s="8" t="s">
        <v>21</v>
      </c>
      <c r="D15" s="29" t="s">
        <v>1</v>
      </c>
      <c r="E15" s="226"/>
      <c r="F15" s="1">
        <v>0</v>
      </c>
      <c r="G15" s="1">
        <v>0</v>
      </c>
      <c r="H15" s="1">
        <v>0</v>
      </c>
      <c r="I15" s="226"/>
      <c r="J15" s="1">
        <v>0</v>
      </c>
      <c r="K15" s="1">
        <v>0</v>
      </c>
      <c r="L15" s="1">
        <v>0</v>
      </c>
      <c r="M15" s="513"/>
      <c r="N15" s="1">
        <v>211.32</v>
      </c>
      <c r="O15" s="1">
        <v>0</v>
      </c>
      <c r="P15" s="1">
        <v>211.32</v>
      </c>
      <c r="Q15" s="226"/>
      <c r="R15" s="1">
        <v>0</v>
      </c>
      <c r="S15" s="1">
        <v>0</v>
      </c>
      <c r="T15" s="1">
        <v>0</v>
      </c>
      <c r="U15" s="226"/>
      <c r="V15" s="1">
        <f t="shared" si="1"/>
        <v>211.32</v>
      </c>
      <c r="W15" s="1">
        <f t="shared" si="1"/>
        <v>0</v>
      </c>
      <c r="X15" s="1">
        <f t="shared" si="1"/>
        <v>211.32</v>
      </c>
      <c r="Z15" s="1">
        <f t="shared" si="0"/>
        <v>0</v>
      </c>
      <c r="AA15" s="1">
        <f t="shared" si="0"/>
        <v>0</v>
      </c>
      <c r="AB15" s="1">
        <f t="shared" si="0"/>
        <v>0</v>
      </c>
      <c r="AD15" s="227">
        <v>0</v>
      </c>
      <c r="AE15" s="227">
        <v>0</v>
      </c>
      <c r="AF15" s="227">
        <v>0</v>
      </c>
      <c r="AG15" s="226"/>
      <c r="AH15" s="514"/>
    </row>
    <row r="16" spans="1:36" x14ac:dyDescent="0.2">
      <c r="A16" s="8">
        <v>10850</v>
      </c>
      <c r="B16" s="8" t="s">
        <v>79</v>
      </c>
      <c r="C16" s="8" t="s">
        <v>38</v>
      </c>
      <c r="D16" s="29" t="s">
        <v>1</v>
      </c>
      <c r="E16" s="226"/>
      <c r="F16" s="1">
        <v>0</v>
      </c>
      <c r="G16" s="1">
        <v>0</v>
      </c>
      <c r="H16" s="1">
        <v>0</v>
      </c>
      <c r="I16" s="226"/>
      <c r="J16" s="1">
        <v>0</v>
      </c>
      <c r="K16" s="1">
        <v>0</v>
      </c>
      <c r="L16" s="1">
        <v>0</v>
      </c>
      <c r="M16" s="513"/>
      <c r="N16" s="1">
        <v>944.7</v>
      </c>
      <c r="O16" s="1">
        <v>944.7</v>
      </c>
      <c r="P16" s="1">
        <v>0</v>
      </c>
      <c r="Q16" s="226"/>
      <c r="R16" s="1">
        <v>0</v>
      </c>
      <c r="S16" s="1">
        <v>0</v>
      </c>
      <c r="T16" s="1">
        <v>0</v>
      </c>
      <c r="U16" s="226"/>
      <c r="V16" s="1">
        <f t="shared" si="1"/>
        <v>944.7</v>
      </c>
      <c r="W16" s="1">
        <f t="shared" si="1"/>
        <v>944.7</v>
      </c>
      <c r="X16" s="1">
        <f t="shared" si="1"/>
        <v>0</v>
      </c>
      <c r="Z16" s="1">
        <f t="shared" si="0"/>
        <v>0</v>
      </c>
      <c r="AA16" s="1">
        <f t="shared" si="0"/>
        <v>0</v>
      </c>
      <c r="AB16" s="1">
        <f t="shared" si="0"/>
        <v>0</v>
      </c>
      <c r="AD16" s="227">
        <v>0</v>
      </c>
      <c r="AE16" s="227">
        <v>0</v>
      </c>
      <c r="AF16" s="227">
        <v>0</v>
      </c>
      <c r="AG16" s="226"/>
      <c r="AH16" s="514"/>
    </row>
    <row r="17" spans="1:34" x14ac:dyDescent="0.2">
      <c r="A17" s="8">
        <v>10900</v>
      </c>
      <c r="B17" s="8" t="s">
        <v>80</v>
      </c>
      <c r="C17" s="8" t="s">
        <v>18</v>
      </c>
      <c r="D17" s="29" t="s">
        <v>3</v>
      </c>
      <c r="E17" s="226">
        <v>1</v>
      </c>
      <c r="F17" s="1">
        <v>12315.79</v>
      </c>
      <c r="G17" s="1">
        <v>12315.79</v>
      </c>
      <c r="H17" s="1">
        <v>0</v>
      </c>
      <c r="I17" s="226"/>
      <c r="J17" s="1">
        <v>0</v>
      </c>
      <c r="K17" s="1">
        <v>0</v>
      </c>
      <c r="L17" s="1">
        <v>0</v>
      </c>
      <c r="M17" s="513"/>
      <c r="N17" s="1">
        <v>3065.49</v>
      </c>
      <c r="O17" s="1">
        <v>3065.49</v>
      </c>
      <c r="P17" s="1">
        <v>0</v>
      </c>
      <c r="Q17" s="226"/>
      <c r="R17" s="1">
        <v>145</v>
      </c>
      <c r="S17" s="1">
        <v>145</v>
      </c>
      <c r="T17" s="1">
        <v>0</v>
      </c>
      <c r="U17" s="226"/>
      <c r="V17" s="1">
        <f t="shared" si="1"/>
        <v>15526.28</v>
      </c>
      <c r="W17" s="1">
        <f t="shared" si="1"/>
        <v>15526.28</v>
      </c>
      <c r="X17" s="1">
        <f t="shared" si="1"/>
        <v>0</v>
      </c>
      <c r="Z17" s="1">
        <f t="shared" si="0"/>
        <v>12315.79</v>
      </c>
      <c r="AA17" s="1">
        <f t="shared" si="0"/>
        <v>12315.79</v>
      </c>
      <c r="AB17" s="1">
        <f t="shared" si="0"/>
        <v>0</v>
      </c>
      <c r="AD17" s="227">
        <v>0</v>
      </c>
      <c r="AE17" s="227">
        <v>0</v>
      </c>
      <c r="AF17" s="227">
        <v>0</v>
      </c>
      <c r="AG17" s="226"/>
      <c r="AH17" s="514"/>
    </row>
    <row r="18" spans="1:34" x14ac:dyDescent="0.2">
      <c r="A18" s="8">
        <v>10950</v>
      </c>
      <c r="B18" s="8" t="s">
        <v>81</v>
      </c>
      <c r="C18" s="8" t="s">
        <v>38</v>
      </c>
      <c r="D18" s="29" t="s">
        <v>1</v>
      </c>
      <c r="E18" s="226"/>
      <c r="F18" s="1">
        <v>0</v>
      </c>
      <c r="G18" s="1">
        <v>0</v>
      </c>
      <c r="H18" s="1">
        <v>0</v>
      </c>
      <c r="I18" s="226"/>
      <c r="J18" s="1">
        <v>0</v>
      </c>
      <c r="K18" s="1">
        <v>0</v>
      </c>
      <c r="L18" s="1">
        <v>0</v>
      </c>
      <c r="M18" s="513"/>
      <c r="N18" s="1">
        <v>515.82000000000005</v>
      </c>
      <c r="O18" s="1">
        <v>515.82000000000005</v>
      </c>
      <c r="P18" s="1">
        <v>0</v>
      </c>
      <c r="Q18" s="226"/>
      <c r="R18" s="1">
        <v>0</v>
      </c>
      <c r="S18" s="1">
        <v>0</v>
      </c>
      <c r="T18" s="1">
        <v>0</v>
      </c>
      <c r="U18" s="226"/>
      <c r="V18" s="1">
        <f t="shared" si="1"/>
        <v>515.82000000000005</v>
      </c>
      <c r="W18" s="1">
        <f t="shared" si="1"/>
        <v>515.82000000000005</v>
      </c>
      <c r="X18" s="1">
        <f t="shared" si="1"/>
        <v>0</v>
      </c>
      <c r="Z18" s="1">
        <f t="shared" si="0"/>
        <v>0</v>
      </c>
      <c r="AA18" s="1">
        <f t="shared" si="0"/>
        <v>0</v>
      </c>
      <c r="AB18" s="1">
        <f t="shared" si="0"/>
        <v>0</v>
      </c>
      <c r="AD18" s="227">
        <v>0</v>
      </c>
      <c r="AE18" s="227">
        <v>0</v>
      </c>
      <c r="AF18" s="227">
        <v>0</v>
      </c>
      <c r="AG18" s="226"/>
      <c r="AH18" s="514"/>
    </row>
    <row r="19" spans="1:34" x14ac:dyDescent="0.2">
      <c r="A19" s="8">
        <v>11150</v>
      </c>
      <c r="B19" s="8" t="s">
        <v>82</v>
      </c>
      <c r="C19" s="8" t="s">
        <v>38</v>
      </c>
      <c r="D19" s="29" t="s">
        <v>1</v>
      </c>
      <c r="E19" s="226"/>
      <c r="F19" s="1">
        <v>0</v>
      </c>
      <c r="G19" s="1">
        <v>0</v>
      </c>
      <c r="H19" s="1">
        <v>0</v>
      </c>
      <c r="I19" s="226"/>
      <c r="J19" s="1">
        <v>0</v>
      </c>
      <c r="K19" s="1">
        <v>0</v>
      </c>
      <c r="L19" s="1">
        <v>0</v>
      </c>
      <c r="M19" s="513"/>
      <c r="N19" s="1">
        <v>0</v>
      </c>
      <c r="O19" s="1">
        <v>0</v>
      </c>
      <c r="P19" s="1">
        <v>0</v>
      </c>
      <c r="Q19" s="226"/>
      <c r="R19" s="1">
        <v>0</v>
      </c>
      <c r="S19" s="1">
        <v>0</v>
      </c>
      <c r="T19" s="1">
        <v>0</v>
      </c>
      <c r="U19" s="226"/>
      <c r="V19" s="1">
        <f t="shared" si="1"/>
        <v>0</v>
      </c>
      <c r="W19" s="1">
        <f t="shared" si="1"/>
        <v>0</v>
      </c>
      <c r="X19" s="1">
        <f t="shared" si="1"/>
        <v>0</v>
      </c>
      <c r="Z19" s="1">
        <f t="shared" si="0"/>
        <v>0</v>
      </c>
      <c r="AA19" s="1">
        <f t="shared" si="0"/>
        <v>0</v>
      </c>
      <c r="AB19" s="1">
        <f t="shared" si="0"/>
        <v>0</v>
      </c>
      <c r="AD19" s="227">
        <v>20</v>
      </c>
      <c r="AE19" s="227">
        <v>20</v>
      </c>
      <c r="AF19" s="227">
        <v>0</v>
      </c>
      <c r="AG19" s="226"/>
      <c r="AH19" s="514"/>
    </row>
    <row r="20" spans="1:34" x14ac:dyDescent="0.2">
      <c r="A20" s="8">
        <v>11200</v>
      </c>
      <c r="B20" s="8" t="s">
        <v>83</v>
      </c>
      <c r="C20" s="8" t="s">
        <v>38</v>
      </c>
      <c r="D20" s="29" t="s">
        <v>1</v>
      </c>
      <c r="E20" s="226"/>
      <c r="F20" s="1">
        <v>0</v>
      </c>
      <c r="G20" s="1">
        <v>0</v>
      </c>
      <c r="H20" s="1">
        <v>0</v>
      </c>
      <c r="I20" s="226"/>
      <c r="J20" s="1">
        <v>0</v>
      </c>
      <c r="K20" s="1">
        <v>0</v>
      </c>
      <c r="L20" s="1">
        <v>0</v>
      </c>
      <c r="M20" s="513"/>
      <c r="N20" s="1">
        <v>100</v>
      </c>
      <c r="O20" s="1">
        <v>100</v>
      </c>
      <c r="P20" s="1">
        <v>0</v>
      </c>
      <c r="Q20" s="226"/>
      <c r="R20" s="1">
        <v>0</v>
      </c>
      <c r="S20" s="1">
        <v>0</v>
      </c>
      <c r="T20" s="1">
        <v>0</v>
      </c>
      <c r="U20" s="226"/>
      <c r="V20" s="1">
        <f t="shared" si="1"/>
        <v>100</v>
      </c>
      <c r="W20" s="1">
        <f t="shared" si="1"/>
        <v>100</v>
      </c>
      <c r="X20" s="1">
        <f t="shared" si="1"/>
        <v>0</v>
      </c>
      <c r="Z20" s="1">
        <f t="shared" si="0"/>
        <v>0</v>
      </c>
      <c r="AA20" s="1">
        <f t="shared" si="0"/>
        <v>0</v>
      </c>
      <c r="AB20" s="1">
        <f t="shared" si="0"/>
        <v>0</v>
      </c>
      <c r="AD20" s="227">
        <v>0</v>
      </c>
      <c r="AE20" s="227">
        <v>0</v>
      </c>
      <c r="AF20" s="227">
        <v>0</v>
      </c>
      <c r="AG20" s="226"/>
      <c r="AH20" s="514"/>
    </row>
    <row r="21" spans="1:34" x14ac:dyDescent="0.2">
      <c r="A21" s="8">
        <v>11250</v>
      </c>
      <c r="B21" s="8" t="s">
        <v>84</v>
      </c>
      <c r="C21" s="8" t="s">
        <v>38</v>
      </c>
      <c r="D21" s="29" t="s">
        <v>1</v>
      </c>
      <c r="E21" s="226"/>
      <c r="F21" s="1">
        <v>0</v>
      </c>
      <c r="G21" s="1">
        <v>0</v>
      </c>
      <c r="H21" s="1">
        <v>0</v>
      </c>
      <c r="I21" s="226">
        <v>1</v>
      </c>
      <c r="J21" s="1">
        <v>1697.33</v>
      </c>
      <c r="K21" s="1">
        <v>1697.33</v>
      </c>
      <c r="L21" s="1">
        <v>0</v>
      </c>
      <c r="M21" s="513"/>
      <c r="N21" s="1">
        <v>68.08</v>
      </c>
      <c r="O21" s="1">
        <v>68.08</v>
      </c>
      <c r="P21" s="1">
        <v>0</v>
      </c>
      <c r="Q21" s="226"/>
      <c r="R21" s="1">
        <v>0</v>
      </c>
      <c r="S21" s="1">
        <v>0</v>
      </c>
      <c r="T21" s="1">
        <v>0</v>
      </c>
      <c r="U21" s="226"/>
      <c r="V21" s="1">
        <f t="shared" si="1"/>
        <v>1765.4099999999999</v>
      </c>
      <c r="W21" s="1">
        <f t="shared" si="1"/>
        <v>1765.4099999999999</v>
      </c>
      <c r="X21" s="1">
        <f t="shared" si="1"/>
        <v>0</v>
      </c>
      <c r="Z21" s="1">
        <f t="shared" si="0"/>
        <v>1697.33</v>
      </c>
      <c r="AA21" s="1">
        <f t="shared" si="0"/>
        <v>1697.33</v>
      </c>
      <c r="AB21" s="1">
        <f t="shared" si="0"/>
        <v>0</v>
      </c>
      <c r="AD21" s="227">
        <v>1629.25</v>
      </c>
      <c r="AE21" s="227">
        <v>1629.25</v>
      </c>
      <c r="AF21" s="227">
        <v>0</v>
      </c>
      <c r="AG21" s="226"/>
      <c r="AH21" s="514"/>
    </row>
    <row r="22" spans="1:34" x14ac:dyDescent="0.2">
      <c r="A22" s="8">
        <v>11300</v>
      </c>
      <c r="B22" s="8" t="s">
        <v>85</v>
      </c>
      <c r="C22" s="8" t="s">
        <v>17</v>
      </c>
      <c r="D22" s="29" t="s">
        <v>2</v>
      </c>
      <c r="E22" s="226">
        <v>2</v>
      </c>
      <c r="F22" s="1">
        <v>2189.48</v>
      </c>
      <c r="G22" s="1">
        <v>2145.48</v>
      </c>
      <c r="H22" s="1">
        <v>44</v>
      </c>
      <c r="I22" s="226">
        <v>2</v>
      </c>
      <c r="J22" s="1">
        <v>302.89999999999998</v>
      </c>
      <c r="K22" s="1">
        <v>286.89999999999998</v>
      </c>
      <c r="L22" s="1">
        <v>16</v>
      </c>
      <c r="M22" s="513"/>
      <c r="N22" s="1">
        <v>0</v>
      </c>
      <c r="O22" s="1">
        <v>0</v>
      </c>
      <c r="P22" s="1">
        <v>0</v>
      </c>
      <c r="Q22" s="226"/>
      <c r="R22" s="1">
        <v>0</v>
      </c>
      <c r="S22" s="1">
        <v>0</v>
      </c>
      <c r="T22" s="1">
        <v>0</v>
      </c>
      <c r="U22" s="226"/>
      <c r="V22" s="1">
        <f t="shared" si="1"/>
        <v>2492.38</v>
      </c>
      <c r="W22" s="1">
        <f t="shared" si="1"/>
        <v>2432.38</v>
      </c>
      <c r="X22" s="1">
        <f t="shared" si="1"/>
        <v>60</v>
      </c>
      <c r="Z22" s="1">
        <f t="shared" si="0"/>
        <v>2492.38</v>
      </c>
      <c r="AA22" s="1">
        <f t="shared" si="0"/>
        <v>2432.38</v>
      </c>
      <c r="AB22" s="1">
        <f t="shared" si="0"/>
        <v>60</v>
      </c>
      <c r="AD22" s="227">
        <v>0</v>
      </c>
      <c r="AE22" s="227">
        <v>0</v>
      </c>
      <c r="AF22" s="227">
        <v>0</v>
      </c>
      <c r="AG22" s="226"/>
      <c r="AH22" s="514"/>
    </row>
    <row r="23" spans="1:34" x14ac:dyDescent="0.2">
      <c r="A23" s="8">
        <v>11350</v>
      </c>
      <c r="B23" s="8" t="s">
        <v>86</v>
      </c>
      <c r="C23" s="8" t="s">
        <v>19</v>
      </c>
      <c r="D23" s="29" t="s">
        <v>3</v>
      </c>
      <c r="E23" s="226"/>
      <c r="F23" s="1">
        <v>0</v>
      </c>
      <c r="G23" s="1">
        <v>0</v>
      </c>
      <c r="H23" s="1">
        <v>0</v>
      </c>
      <c r="I23" s="226">
        <v>1</v>
      </c>
      <c r="J23" s="1">
        <v>5616</v>
      </c>
      <c r="K23" s="1">
        <v>5616</v>
      </c>
      <c r="L23" s="1">
        <v>0</v>
      </c>
      <c r="M23" s="513"/>
      <c r="N23" s="1">
        <v>2930</v>
      </c>
      <c r="O23" s="1">
        <v>2930</v>
      </c>
      <c r="P23" s="1">
        <v>0</v>
      </c>
      <c r="Q23" s="226"/>
      <c r="R23" s="1">
        <v>462.14</v>
      </c>
      <c r="S23" s="1">
        <v>462.14</v>
      </c>
      <c r="T23" s="1">
        <v>0</v>
      </c>
      <c r="U23" s="226"/>
      <c r="V23" s="1">
        <f t="shared" si="1"/>
        <v>9008.14</v>
      </c>
      <c r="W23" s="1">
        <f t="shared" si="1"/>
        <v>9008.14</v>
      </c>
      <c r="X23" s="1">
        <f t="shared" si="1"/>
        <v>0</v>
      </c>
      <c r="Z23" s="1">
        <f t="shared" si="0"/>
        <v>5616</v>
      </c>
      <c r="AA23" s="1">
        <f t="shared" si="0"/>
        <v>5616</v>
      </c>
      <c r="AB23" s="1">
        <f t="shared" si="0"/>
        <v>0</v>
      </c>
      <c r="AD23" s="227">
        <v>401.55</v>
      </c>
      <c r="AE23" s="227">
        <v>401.55</v>
      </c>
      <c r="AF23" s="227">
        <v>0</v>
      </c>
      <c r="AG23" s="226"/>
      <c r="AH23" s="514"/>
    </row>
    <row r="24" spans="1:34" x14ac:dyDescent="0.2">
      <c r="A24" s="8">
        <v>11400</v>
      </c>
      <c r="B24" s="8" t="s">
        <v>87</v>
      </c>
      <c r="C24" s="8" t="s">
        <v>38</v>
      </c>
      <c r="D24" s="29" t="s">
        <v>1</v>
      </c>
      <c r="E24" s="226"/>
      <c r="F24" s="1">
        <v>0</v>
      </c>
      <c r="G24" s="1">
        <v>0</v>
      </c>
      <c r="H24" s="1">
        <v>0</v>
      </c>
      <c r="I24" s="226"/>
      <c r="J24" s="1">
        <v>0</v>
      </c>
      <c r="K24" s="1">
        <v>0</v>
      </c>
      <c r="L24" s="1">
        <v>0</v>
      </c>
      <c r="M24" s="513"/>
      <c r="N24" s="1">
        <v>187.04</v>
      </c>
      <c r="O24" s="1">
        <v>187.04</v>
      </c>
      <c r="P24" s="1">
        <v>0</v>
      </c>
      <c r="Q24" s="226"/>
      <c r="R24" s="1">
        <v>0</v>
      </c>
      <c r="S24" s="1">
        <v>0</v>
      </c>
      <c r="T24" s="1">
        <v>0</v>
      </c>
      <c r="U24" s="226"/>
      <c r="V24" s="1">
        <f t="shared" si="1"/>
        <v>187.04</v>
      </c>
      <c r="W24" s="1">
        <f t="shared" si="1"/>
        <v>187.04</v>
      </c>
      <c r="X24" s="1">
        <f t="shared" si="1"/>
        <v>0</v>
      </c>
      <c r="Z24" s="1">
        <f t="shared" si="0"/>
        <v>0</v>
      </c>
      <c r="AA24" s="1">
        <f t="shared" si="0"/>
        <v>0</v>
      </c>
      <c r="AB24" s="1">
        <f t="shared" si="0"/>
        <v>0</v>
      </c>
      <c r="AD24" s="227">
        <v>0</v>
      </c>
      <c r="AE24" s="227">
        <v>0</v>
      </c>
      <c r="AF24" s="227">
        <v>0</v>
      </c>
      <c r="AG24" s="226"/>
      <c r="AH24" s="514"/>
    </row>
    <row r="25" spans="1:34" x14ac:dyDescent="0.2">
      <c r="A25" s="8">
        <v>11450</v>
      </c>
      <c r="B25" s="8" t="s">
        <v>69</v>
      </c>
      <c r="C25" s="8" t="s">
        <v>182</v>
      </c>
      <c r="D25" s="29" t="s">
        <v>2</v>
      </c>
      <c r="E25" s="226">
        <v>1</v>
      </c>
      <c r="F25" s="1">
        <v>12607.26</v>
      </c>
      <c r="G25" s="1">
        <v>12183.27</v>
      </c>
      <c r="H25" s="1">
        <v>423.99</v>
      </c>
      <c r="I25" s="226"/>
      <c r="J25" s="1">
        <v>0</v>
      </c>
      <c r="K25" s="1">
        <v>0</v>
      </c>
      <c r="L25" s="1">
        <v>0</v>
      </c>
      <c r="M25" s="513"/>
      <c r="N25" s="1">
        <v>0</v>
      </c>
      <c r="O25" s="1">
        <v>0</v>
      </c>
      <c r="P25" s="1">
        <v>0</v>
      </c>
      <c r="Q25" s="226"/>
      <c r="R25" s="1">
        <v>0</v>
      </c>
      <c r="S25" s="1">
        <v>0</v>
      </c>
      <c r="T25" s="1">
        <v>0</v>
      </c>
      <c r="U25" s="226"/>
      <c r="V25" s="1">
        <f t="shared" si="1"/>
        <v>12607.26</v>
      </c>
      <c r="W25" s="1">
        <f t="shared" si="1"/>
        <v>12183.27</v>
      </c>
      <c r="X25" s="1">
        <f t="shared" si="1"/>
        <v>423.99</v>
      </c>
      <c r="Z25" s="1">
        <f t="shared" si="0"/>
        <v>12607.26</v>
      </c>
      <c r="AA25" s="1">
        <f t="shared" si="0"/>
        <v>12183.27</v>
      </c>
      <c r="AB25" s="1">
        <f t="shared" si="0"/>
        <v>423.99</v>
      </c>
      <c r="AD25" s="227">
        <v>80.5</v>
      </c>
      <c r="AE25" s="227">
        <v>80.5</v>
      </c>
      <c r="AF25" s="227">
        <v>0</v>
      </c>
      <c r="AG25" s="226"/>
      <c r="AH25" s="514"/>
    </row>
    <row r="26" spans="1:34" x14ac:dyDescent="0.2">
      <c r="A26" s="8">
        <v>11500</v>
      </c>
      <c r="B26" s="8" t="s">
        <v>46</v>
      </c>
      <c r="C26" s="8" t="s">
        <v>182</v>
      </c>
      <c r="D26" s="29" t="s">
        <v>2</v>
      </c>
      <c r="E26" s="226">
        <v>1</v>
      </c>
      <c r="F26" s="1">
        <v>17808.099999999999</v>
      </c>
      <c r="G26" s="1">
        <v>17196.37</v>
      </c>
      <c r="H26" s="1">
        <v>611.73</v>
      </c>
      <c r="I26" s="226"/>
      <c r="J26" s="1">
        <v>0</v>
      </c>
      <c r="K26" s="1">
        <v>0</v>
      </c>
      <c r="L26" s="1">
        <v>0</v>
      </c>
      <c r="M26" s="513"/>
      <c r="N26" s="1">
        <v>0</v>
      </c>
      <c r="O26" s="1">
        <v>0</v>
      </c>
      <c r="P26" s="1">
        <v>0</v>
      </c>
      <c r="Q26" s="226"/>
      <c r="R26" s="1">
        <v>0</v>
      </c>
      <c r="S26" s="1">
        <v>0</v>
      </c>
      <c r="T26" s="1">
        <v>0</v>
      </c>
      <c r="U26" s="226"/>
      <c r="V26" s="1">
        <f t="shared" si="1"/>
        <v>17808.099999999999</v>
      </c>
      <c r="W26" s="1">
        <f t="shared" si="1"/>
        <v>17196.37</v>
      </c>
      <c r="X26" s="1">
        <f t="shared" si="1"/>
        <v>611.73</v>
      </c>
      <c r="Z26" s="1">
        <f t="shared" si="0"/>
        <v>17808.099999999999</v>
      </c>
      <c r="AA26" s="1">
        <f t="shared" si="0"/>
        <v>17196.37</v>
      </c>
      <c r="AB26" s="1">
        <f t="shared" si="0"/>
        <v>611.73</v>
      </c>
      <c r="AD26" s="227">
        <v>0</v>
      </c>
      <c r="AE26" s="227">
        <v>0</v>
      </c>
      <c r="AF26" s="227">
        <v>0</v>
      </c>
      <c r="AG26" s="226"/>
      <c r="AH26" s="514"/>
    </row>
    <row r="27" spans="1:34" x14ac:dyDescent="0.2">
      <c r="A27" s="8">
        <v>11520</v>
      </c>
      <c r="B27" s="8" t="s">
        <v>88</v>
      </c>
      <c r="C27" s="8" t="s">
        <v>17</v>
      </c>
      <c r="D27" s="29" t="s">
        <v>2</v>
      </c>
      <c r="E27" s="226">
        <v>2</v>
      </c>
      <c r="F27" s="1">
        <v>5105</v>
      </c>
      <c r="G27" s="1">
        <v>5053.95</v>
      </c>
      <c r="H27" s="1">
        <v>51.05</v>
      </c>
      <c r="I27" s="226">
        <v>2</v>
      </c>
      <c r="J27" s="1">
        <v>36</v>
      </c>
      <c r="K27" s="1">
        <v>36</v>
      </c>
      <c r="L27" s="1">
        <v>0</v>
      </c>
      <c r="M27" s="513"/>
      <c r="N27" s="1">
        <v>0</v>
      </c>
      <c r="O27" s="1">
        <v>0</v>
      </c>
      <c r="P27" s="1">
        <v>0</v>
      </c>
      <c r="Q27" s="226"/>
      <c r="R27" s="1">
        <v>180</v>
      </c>
      <c r="S27" s="1">
        <v>180</v>
      </c>
      <c r="T27" s="1">
        <v>0</v>
      </c>
      <c r="U27" s="226"/>
      <c r="V27" s="1">
        <f t="shared" si="1"/>
        <v>5321</v>
      </c>
      <c r="W27" s="1">
        <f t="shared" si="1"/>
        <v>5269.95</v>
      </c>
      <c r="X27" s="1">
        <f t="shared" si="1"/>
        <v>51.05</v>
      </c>
      <c r="Z27" s="1">
        <f t="shared" si="0"/>
        <v>5141</v>
      </c>
      <c r="AA27" s="1">
        <f t="shared" si="0"/>
        <v>5089.95</v>
      </c>
      <c r="AB27" s="1">
        <f t="shared" si="0"/>
        <v>51.05</v>
      </c>
      <c r="AD27" s="227">
        <v>55.5</v>
      </c>
      <c r="AE27" s="227">
        <v>55.5</v>
      </c>
      <c r="AF27" s="227">
        <v>0</v>
      </c>
      <c r="AG27" s="226"/>
      <c r="AH27" s="514"/>
    </row>
    <row r="28" spans="1:34" x14ac:dyDescent="0.2">
      <c r="A28" s="8">
        <v>11570</v>
      </c>
      <c r="B28" s="8" t="s">
        <v>89</v>
      </c>
      <c r="C28" s="8" t="s">
        <v>17</v>
      </c>
      <c r="D28" s="29" t="s">
        <v>2</v>
      </c>
      <c r="E28" s="226">
        <v>1</v>
      </c>
      <c r="F28" s="1">
        <v>31723.02</v>
      </c>
      <c r="G28" s="1">
        <v>29867.82</v>
      </c>
      <c r="H28" s="1">
        <v>1855.2</v>
      </c>
      <c r="I28" s="226"/>
      <c r="J28" s="1">
        <v>0</v>
      </c>
      <c r="K28" s="1">
        <v>0</v>
      </c>
      <c r="L28" s="1">
        <v>0</v>
      </c>
      <c r="M28" s="513"/>
      <c r="N28" s="1">
        <v>0</v>
      </c>
      <c r="O28" s="1">
        <v>0</v>
      </c>
      <c r="P28" s="1">
        <v>0</v>
      </c>
      <c r="Q28" s="226"/>
      <c r="R28" s="1">
        <v>0</v>
      </c>
      <c r="S28" s="1">
        <v>0</v>
      </c>
      <c r="T28" s="1">
        <v>0</v>
      </c>
      <c r="U28" s="226"/>
      <c r="V28" s="1">
        <f t="shared" si="1"/>
        <v>31723.02</v>
      </c>
      <c r="W28" s="1">
        <f t="shared" si="1"/>
        <v>29867.82</v>
      </c>
      <c r="X28" s="1">
        <f t="shared" si="1"/>
        <v>1855.2</v>
      </c>
      <c r="Z28" s="1">
        <f t="shared" si="0"/>
        <v>31723.02</v>
      </c>
      <c r="AA28" s="1">
        <f t="shared" si="0"/>
        <v>29867.82</v>
      </c>
      <c r="AB28" s="1">
        <f t="shared" si="0"/>
        <v>1855.2</v>
      </c>
      <c r="AD28" s="227">
        <v>1036</v>
      </c>
      <c r="AE28" s="227">
        <v>1036</v>
      </c>
      <c r="AF28" s="227">
        <v>0</v>
      </c>
      <c r="AG28" s="226"/>
      <c r="AH28" s="514"/>
    </row>
    <row r="29" spans="1:34" x14ac:dyDescent="0.2">
      <c r="A29" s="8">
        <v>11600</v>
      </c>
      <c r="B29" s="8" t="s">
        <v>90</v>
      </c>
      <c r="C29" s="8" t="s">
        <v>68</v>
      </c>
      <c r="D29" s="29" t="s">
        <v>1</v>
      </c>
      <c r="E29" s="226"/>
      <c r="F29" s="1">
        <v>0</v>
      </c>
      <c r="G29" s="1">
        <v>0</v>
      </c>
      <c r="H29" s="1">
        <v>0</v>
      </c>
      <c r="I29" s="226"/>
      <c r="J29" s="1">
        <v>0</v>
      </c>
      <c r="K29" s="1">
        <v>0</v>
      </c>
      <c r="L29" s="1">
        <v>0</v>
      </c>
      <c r="M29" s="513"/>
      <c r="N29" s="1">
        <v>0</v>
      </c>
      <c r="O29" s="1">
        <v>0</v>
      </c>
      <c r="P29" s="1">
        <v>0</v>
      </c>
      <c r="Q29" s="226"/>
      <c r="R29" s="1">
        <v>0</v>
      </c>
      <c r="S29" s="1">
        <v>0</v>
      </c>
      <c r="T29" s="1">
        <v>0</v>
      </c>
      <c r="U29" s="226"/>
      <c r="V29" s="1">
        <f t="shared" si="1"/>
        <v>0</v>
      </c>
      <c r="W29" s="1">
        <f t="shared" si="1"/>
        <v>0</v>
      </c>
      <c r="X29" s="1">
        <f t="shared" si="1"/>
        <v>0</v>
      </c>
      <c r="Z29" s="1">
        <f t="shared" si="0"/>
        <v>0</v>
      </c>
      <c r="AA29" s="1">
        <f t="shared" si="0"/>
        <v>0</v>
      </c>
      <c r="AB29" s="1">
        <f t="shared" si="0"/>
        <v>0</v>
      </c>
      <c r="AD29" s="227">
        <v>0</v>
      </c>
      <c r="AE29" s="227">
        <v>0</v>
      </c>
      <c r="AF29" s="227">
        <v>0</v>
      </c>
      <c r="AG29" s="226"/>
      <c r="AH29" s="514"/>
    </row>
    <row r="30" spans="1:34" x14ac:dyDescent="0.2">
      <c r="A30" s="8">
        <v>11650</v>
      </c>
      <c r="B30" s="8" t="s">
        <v>91</v>
      </c>
      <c r="C30" s="8" t="s">
        <v>23</v>
      </c>
      <c r="D30" s="29" t="s">
        <v>2</v>
      </c>
      <c r="E30" s="226">
        <v>1</v>
      </c>
      <c r="F30" s="1">
        <v>38772</v>
      </c>
      <c r="G30" s="1">
        <v>38664</v>
      </c>
      <c r="H30" s="1">
        <v>108</v>
      </c>
      <c r="I30" s="226"/>
      <c r="J30" s="1">
        <v>0</v>
      </c>
      <c r="K30" s="1">
        <v>0</v>
      </c>
      <c r="L30" s="1">
        <v>0</v>
      </c>
      <c r="M30" s="513"/>
      <c r="N30" s="1">
        <v>3249</v>
      </c>
      <c r="O30" s="1">
        <v>3249</v>
      </c>
      <c r="P30" s="1">
        <v>0</v>
      </c>
      <c r="Q30" s="226"/>
      <c r="R30" s="1">
        <v>4305</v>
      </c>
      <c r="S30" s="1">
        <v>4305</v>
      </c>
      <c r="T30" s="1">
        <v>0</v>
      </c>
      <c r="U30" s="226"/>
      <c r="V30" s="1">
        <f t="shared" si="1"/>
        <v>46326</v>
      </c>
      <c r="W30" s="1">
        <f t="shared" si="1"/>
        <v>46218</v>
      </c>
      <c r="X30" s="1">
        <f t="shared" si="1"/>
        <v>108</v>
      </c>
      <c r="Z30" s="1">
        <f t="shared" si="0"/>
        <v>38772</v>
      </c>
      <c r="AA30" s="1">
        <f t="shared" si="0"/>
        <v>38664</v>
      </c>
      <c r="AB30" s="1">
        <f t="shared" si="0"/>
        <v>108</v>
      </c>
      <c r="AD30" s="227">
        <v>0</v>
      </c>
      <c r="AE30" s="227">
        <v>0</v>
      </c>
      <c r="AF30" s="227">
        <v>0</v>
      </c>
      <c r="AG30" s="226"/>
      <c r="AH30" s="514"/>
    </row>
    <row r="31" spans="1:34" x14ac:dyDescent="0.2">
      <c r="A31" s="8">
        <v>11700</v>
      </c>
      <c r="B31" s="8" t="s">
        <v>92</v>
      </c>
      <c r="C31" s="8" t="s">
        <v>38</v>
      </c>
      <c r="D31" s="29" t="s">
        <v>1</v>
      </c>
      <c r="E31" s="226"/>
      <c r="F31" s="1">
        <v>0</v>
      </c>
      <c r="G31" s="1">
        <v>0</v>
      </c>
      <c r="H31" s="1">
        <v>0</v>
      </c>
      <c r="I31" s="226"/>
      <c r="J31" s="1">
        <v>0</v>
      </c>
      <c r="K31" s="1">
        <v>0</v>
      </c>
      <c r="L31" s="1">
        <v>0</v>
      </c>
      <c r="M31" s="513"/>
      <c r="N31" s="1">
        <v>40</v>
      </c>
      <c r="O31" s="1">
        <v>40</v>
      </c>
      <c r="P31" s="1">
        <v>0</v>
      </c>
      <c r="Q31" s="226"/>
      <c r="R31" s="1">
        <v>0</v>
      </c>
      <c r="S31" s="1">
        <v>0</v>
      </c>
      <c r="T31" s="1">
        <v>0</v>
      </c>
      <c r="U31" s="226"/>
      <c r="V31" s="1">
        <f t="shared" si="1"/>
        <v>40</v>
      </c>
      <c r="W31" s="1">
        <f t="shared" si="1"/>
        <v>40</v>
      </c>
      <c r="X31" s="1">
        <f t="shared" si="1"/>
        <v>0</v>
      </c>
      <c r="Z31" s="1">
        <f t="shared" si="0"/>
        <v>0</v>
      </c>
      <c r="AA31" s="1">
        <f t="shared" si="0"/>
        <v>0</v>
      </c>
      <c r="AB31" s="1">
        <f t="shared" si="0"/>
        <v>0</v>
      </c>
      <c r="AD31" s="227">
        <v>0</v>
      </c>
      <c r="AE31" s="227">
        <v>0</v>
      </c>
      <c r="AF31" s="227">
        <v>0</v>
      </c>
      <c r="AG31" s="226"/>
      <c r="AH31" s="514"/>
    </row>
    <row r="32" spans="1:34" x14ac:dyDescent="0.2">
      <c r="A32" s="8">
        <v>11720</v>
      </c>
      <c r="B32" s="8" t="s">
        <v>93</v>
      </c>
      <c r="C32" s="8" t="s">
        <v>23</v>
      </c>
      <c r="D32" s="29" t="s">
        <v>2</v>
      </c>
      <c r="E32" s="226">
        <v>1</v>
      </c>
      <c r="F32" s="1">
        <v>6611.2</v>
      </c>
      <c r="G32" s="1">
        <v>6586.0999999999995</v>
      </c>
      <c r="H32" s="1">
        <v>25.1</v>
      </c>
      <c r="I32" s="226"/>
      <c r="J32" s="1">
        <v>0</v>
      </c>
      <c r="K32" s="1">
        <v>0</v>
      </c>
      <c r="L32" s="1">
        <v>0</v>
      </c>
      <c r="M32" s="513"/>
      <c r="N32" s="1">
        <v>1404</v>
      </c>
      <c r="O32" s="1">
        <v>1404</v>
      </c>
      <c r="P32" s="1">
        <v>0</v>
      </c>
      <c r="Q32" s="226"/>
      <c r="R32" s="1">
        <v>0</v>
      </c>
      <c r="S32" s="1">
        <v>0</v>
      </c>
      <c r="T32" s="1">
        <v>0</v>
      </c>
      <c r="U32" s="226"/>
      <c r="V32" s="1">
        <f t="shared" si="1"/>
        <v>8015.2</v>
      </c>
      <c r="W32" s="1">
        <f t="shared" si="1"/>
        <v>7990.0999999999995</v>
      </c>
      <c r="X32" s="1">
        <f t="shared" si="1"/>
        <v>25.1</v>
      </c>
      <c r="Z32" s="1">
        <f t="shared" si="0"/>
        <v>6611.2</v>
      </c>
      <c r="AA32" s="1">
        <f t="shared" si="0"/>
        <v>6586.0999999999995</v>
      </c>
      <c r="AB32" s="1">
        <f t="shared" si="0"/>
        <v>25.1</v>
      </c>
      <c r="AD32" s="227">
        <v>172</v>
      </c>
      <c r="AE32" s="227">
        <v>172</v>
      </c>
      <c r="AF32" s="227">
        <v>0</v>
      </c>
      <c r="AG32" s="226"/>
      <c r="AH32" s="514"/>
    </row>
    <row r="33" spans="1:34" x14ac:dyDescent="0.2">
      <c r="A33" s="8">
        <v>11730</v>
      </c>
      <c r="B33" s="8" t="s">
        <v>94</v>
      </c>
      <c r="C33" s="8" t="s">
        <v>19</v>
      </c>
      <c r="D33" s="29" t="s">
        <v>3</v>
      </c>
      <c r="E33" s="226"/>
      <c r="F33" s="1">
        <v>0</v>
      </c>
      <c r="G33" s="1">
        <v>0</v>
      </c>
      <c r="H33" s="1">
        <v>0</v>
      </c>
      <c r="I33" s="226">
        <v>1</v>
      </c>
      <c r="J33" s="1">
        <v>8049</v>
      </c>
      <c r="K33" s="1">
        <v>7968.51</v>
      </c>
      <c r="L33" s="1">
        <v>80.489999999999995</v>
      </c>
      <c r="M33" s="513"/>
      <c r="N33" s="1">
        <v>2757</v>
      </c>
      <c r="O33" s="1">
        <v>2757</v>
      </c>
      <c r="P33" s="1">
        <v>0</v>
      </c>
      <c r="Q33" s="226"/>
      <c r="R33" s="1">
        <v>0</v>
      </c>
      <c r="S33" s="1">
        <v>0</v>
      </c>
      <c r="T33" s="1">
        <v>0</v>
      </c>
      <c r="U33" s="226"/>
      <c r="V33" s="1">
        <f t="shared" si="1"/>
        <v>10806</v>
      </c>
      <c r="W33" s="1">
        <f t="shared" si="1"/>
        <v>10725.51</v>
      </c>
      <c r="X33" s="1">
        <f t="shared" si="1"/>
        <v>80.489999999999995</v>
      </c>
      <c r="Z33" s="1">
        <f t="shared" si="0"/>
        <v>8049</v>
      </c>
      <c r="AA33" s="1">
        <f t="shared" si="0"/>
        <v>7968.51</v>
      </c>
      <c r="AB33" s="1">
        <f t="shared" si="0"/>
        <v>80.489999999999995</v>
      </c>
      <c r="AD33" s="227">
        <v>0</v>
      </c>
      <c r="AE33" s="227">
        <v>0</v>
      </c>
      <c r="AF33" s="227">
        <v>0</v>
      </c>
      <c r="AG33" s="226"/>
      <c r="AH33" s="514"/>
    </row>
    <row r="34" spans="1:34" x14ac:dyDescent="0.2">
      <c r="A34" s="8">
        <v>11750</v>
      </c>
      <c r="B34" s="8" t="s">
        <v>95</v>
      </c>
      <c r="C34" s="8" t="s">
        <v>38</v>
      </c>
      <c r="D34" s="29" t="s">
        <v>1</v>
      </c>
      <c r="E34" s="226"/>
      <c r="F34" s="1">
        <v>0</v>
      </c>
      <c r="G34" s="1">
        <v>0</v>
      </c>
      <c r="H34" s="1">
        <v>0</v>
      </c>
      <c r="I34" s="226"/>
      <c r="J34" s="1">
        <v>0</v>
      </c>
      <c r="K34" s="1">
        <v>0</v>
      </c>
      <c r="L34" s="1">
        <v>0</v>
      </c>
      <c r="M34" s="513"/>
      <c r="N34" s="1">
        <v>0</v>
      </c>
      <c r="O34" s="1">
        <v>0</v>
      </c>
      <c r="P34" s="1">
        <v>0</v>
      </c>
      <c r="Q34" s="226"/>
      <c r="R34" s="1">
        <v>0</v>
      </c>
      <c r="S34" s="1">
        <v>0</v>
      </c>
      <c r="T34" s="1">
        <v>0</v>
      </c>
      <c r="U34" s="226"/>
      <c r="V34" s="1">
        <f t="shared" si="1"/>
        <v>0</v>
      </c>
      <c r="W34" s="1">
        <f t="shared" si="1"/>
        <v>0</v>
      </c>
      <c r="X34" s="1">
        <f t="shared" si="1"/>
        <v>0</v>
      </c>
      <c r="Z34" s="1">
        <f t="shared" si="0"/>
        <v>0</v>
      </c>
      <c r="AA34" s="1">
        <f t="shared" si="0"/>
        <v>0</v>
      </c>
      <c r="AB34" s="1">
        <f t="shared" si="0"/>
        <v>0</v>
      </c>
      <c r="AD34" s="227">
        <v>0</v>
      </c>
      <c r="AE34" s="227">
        <v>0</v>
      </c>
      <c r="AF34" s="227">
        <v>0</v>
      </c>
      <c r="AG34" s="226"/>
      <c r="AH34" s="514"/>
    </row>
    <row r="35" spans="1:34" x14ac:dyDescent="0.2">
      <c r="A35" s="8">
        <v>11800</v>
      </c>
      <c r="B35" s="8" t="s">
        <v>42</v>
      </c>
      <c r="C35" s="8" t="s">
        <v>39</v>
      </c>
      <c r="D35" s="29" t="s">
        <v>3</v>
      </c>
      <c r="E35" s="226"/>
      <c r="F35" s="1">
        <v>0</v>
      </c>
      <c r="G35" s="1">
        <v>0</v>
      </c>
      <c r="H35" s="1">
        <v>0</v>
      </c>
      <c r="I35" s="226">
        <v>1</v>
      </c>
      <c r="J35" s="1">
        <v>12302.93</v>
      </c>
      <c r="K35" s="1">
        <v>12068.970000000001</v>
      </c>
      <c r="L35" s="1">
        <v>233.96</v>
      </c>
      <c r="M35" s="513"/>
      <c r="N35" s="1">
        <v>2400.06</v>
      </c>
      <c r="O35" s="1">
        <v>2400.06</v>
      </c>
      <c r="P35" s="1">
        <v>0</v>
      </c>
      <c r="Q35" s="226"/>
      <c r="R35" s="1">
        <v>0</v>
      </c>
      <c r="S35" s="1">
        <v>0</v>
      </c>
      <c r="T35" s="1">
        <v>0</v>
      </c>
      <c r="U35" s="226"/>
      <c r="V35" s="1">
        <f t="shared" si="1"/>
        <v>14702.99</v>
      </c>
      <c r="W35" s="1">
        <f t="shared" si="1"/>
        <v>14469.03</v>
      </c>
      <c r="X35" s="1">
        <f t="shared" si="1"/>
        <v>233.96</v>
      </c>
      <c r="Z35" s="1">
        <f t="shared" si="0"/>
        <v>12302.93</v>
      </c>
      <c r="AA35" s="1">
        <f t="shared" si="0"/>
        <v>12068.970000000001</v>
      </c>
      <c r="AB35" s="1">
        <f t="shared" si="0"/>
        <v>233.96</v>
      </c>
      <c r="AD35" s="227">
        <v>0</v>
      </c>
      <c r="AE35" s="227">
        <v>0</v>
      </c>
      <c r="AF35" s="227">
        <v>0</v>
      </c>
      <c r="AG35" s="226"/>
      <c r="AH35" s="514"/>
    </row>
    <row r="36" spans="1:34" x14ac:dyDescent="0.2">
      <c r="A36" s="8">
        <v>12000</v>
      </c>
      <c r="B36" s="8" t="s">
        <v>96</v>
      </c>
      <c r="C36" s="8" t="s">
        <v>21</v>
      </c>
      <c r="D36" s="29" t="s">
        <v>1</v>
      </c>
      <c r="E36" s="226"/>
      <c r="F36" s="1">
        <v>0</v>
      </c>
      <c r="G36" s="1">
        <v>0</v>
      </c>
      <c r="H36" s="1">
        <v>0</v>
      </c>
      <c r="I36" s="226">
        <v>1</v>
      </c>
      <c r="J36" s="1">
        <v>198</v>
      </c>
      <c r="K36" s="1">
        <v>198</v>
      </c>
      <c r="L36" s="1">
        <v>0</v>
      </c>
      <c r="M36" s="513"/>
      <c r="N36" s="1">
        <v>540</v>
      </c>
      <c r="O36" s="1">
        <v>460</v>
      </c>
      <c r="P36" s="1">
        <v>80</v>
      </c>
      <c r="Q36" s="226"/>
      <c r="R36" s="1">
        <v>30</v>
      </c>
      <c r="S36" s="1">
        <v>30</v>
      </c>
      <c r="T36" s="1">
        <v>0</v>
      </c>
      <c r="U36" s="226"/>
      <c r="V36" s="1">
        <f t="shared" si="1"/>
        <v>768</v>
      </c>
      <c r="W36" s="1">
        <f t="shared" si="1"/>
        <v>688</v>
      </c>
      <c r="X36" s="1">
        <f t="shared" si="1"/>
        <v>80</v>
      </c>
      <c r="Z36" s="1">
        <f t="shared" si="0"/>
        <v>198</v>
      </c>
      <c r="AA36" s="1">
        <f t="shared" si="0"/>
        <v>198</v>
      </c>
      <c r="AB36" s="1">
        <f t="shared" si="0"/>
        <v>0</v>
      </c>
      <c r="AD36" s="227">
        <v>0</v>
      </c>
      <c r="AE36" s="227">
        <v>0</v>
      </c>
      <c r="AF36" s="227">
        <v>0</v>
      </c>
      <c r="AG36" s="226"/>
      <c r="AH36" s="514"/>
    </row>
    <row r="37" spans="1:34" x14ac:dyDescent="0.2">
      <c r="A37" s="8">
        <v>12150</v>
      </c>
      <c r="B37" s="8" t="s">
        <v>97</v>
      </c>
      <c r="C37" s="8" t="s">
        <v>38</v>
      </c>
      <c r="D37" s="29" t="s">
        <v>1</v>
      </c>
      <c r="E37" s="226"/>
      <c r="F37" s="1">
        <v>0</v>
      </c>
      <c r="G37" s="1">
        <v>0</v>
      </c>
      <c r="H37" s="1">
        <v>0</v>
      </c>
      <c r="I37" s="226"/>
      <c r="J37" s="1">
        <v>0</v>
      </c>
      <c r="K37" s="1">
        <v>0</v>
      </c>
      <c r="L37" s="1">
        <v>0</v>
      </c>
      <c r="M37" s="513"/>
      <c r="N37" s="1">
        <v>0</v>
      </c>
      <c r="O37" s="1">
        <v>0</v>
      </c>
      <c r="P37" s="1">
        <v>0</v>
      </c>
      <c r="Q37" s="226"/>
      <c r="R37" s="1">
        <v>0</v>
      </c>
      <c r="S37" s="1">
        <v>0</v>
      </c>
      <c r="T37" s="1">
        <v>0</v>
      </c>
      <c r="U37" s="226"/>
      <c r="V37" s="1">
        <f t="shared" si="1"/>
        <v>0</v>
      </c>
      <c r="W37" s="1">
        <f t="shared" si="1"/>
        <v>0</v>
      </c>
      <c r="X37" s="1">
        <f t="shared" si="1"/>
        <v>0</v>
      </c>
      <c r="Z37" s="1">
        <f t="shared" si="0"/>
        <v>0</v>
      </c>
      <c r="AA37" s="1">
        <f t="shared" si="0"/>
        <v>0</v>
      </c>
      <c r="AB37" s="1">
        <f t="shared" si="0"/>
        <v>0</v>
      </c>
      <c r="AD37" s="227">
        <v>100</v>
      </c>
      <c r="AE37" s="227">
        <v>100</v>
      </c>
      <c r="AF37" s="227">
        <v>0</v>
      </c>
      <c r="AG37" s="226"/>
      <c r="AH37" s="514"/>
    </row>
    <row r="38" spans="1:34" x14ac:dyDescent="0.2">
      <c r="A38" s="8">
        <v>12160</v>
      </c>
      <c r="B38" s="8" t="s">
        <v>98</v>
      </c>
      <c r="C38" s="8" t="s">
        <v>21</v>
      </c>
      <c r="D38" s="29" t="s">
        <v>1</v>
      </c>
      <c r="E38" s="226">
        <v>2</v>
      </c>
      <c r="F38" s="1">
        <v>852.67</v>
      </c>
      <c r="G38" s="1">
        <v>852.67</v>
      </c>
      <c r="H38" s="1">
        <v>0</v>
      </c>
      <c r="I38" s="226">
        <v>2</v>
      </c>
      <c r="J38" s="1">
        <v>494.52</v>
      </c>
      <c r="K38" s="1">
        <v>494.52</v>
      </c>
      <c r="L38" s="1">
        <v>0</v>
      </c>
      <c r="M38" s="513"/>
      <c r="N38" s="1">
        <v>738.37</v>
      </c>
      <c r="O38" s="1">
        <v>738.37</v>
      </c>
      <c r="P38" s="1">
        <v>0</v>
      </c>
      <c r="Q38" s="226"/>
      <c r="R38" s="1">
        <v>0</v>
      </c>
      <c r="S38" s="1">
        <v>0</v>
      </c>
      <c r="T38" s="1">
        <v>0</v>
      </c>
      <c r="U38" s="226"/>
      <c r="V38" s="1">
        <f t="shared" si="1"/>
        <v>2085.56</v>
      </c>
      <c r="W38" s="1">
        <f t="shared" si="1"/>
        <v>2085.56</v>
      </c>
      <c r="X38" s="1">
        <f t="shared" si="1"/>
        <v>0</v>
      </c>
      <c r="Z38" s="1">
        <f t="shared" si="0"/>
        <v>1347.19</v>
      </c>
      <c r="AA38" s="1">
        <f t="shared" si="0"/>
        <v>1347.19</v>
      </c>
      <c r="AB38" s="1">
        <f t="shared" si="0"/>
        <v>0</v>
      </c>
      <c r="AD38" s="227">
        <v>1155</v>
      </c>
      <c r="AE38" s="227">
        <v>1155</v>
      </c>
      <c r="AF38" s="227">
        <v>0</v>
      </c>
      <c r="AG38" s="226"/>
      <c r="AH38" s="514"/>
    </row>
    <row r="39" spans="1:34" x14ac:dyDescent="0.2">
      <c r="A39" s="8">
        <v>12350</v>
      </c>
      <c r="B39" s="8" t="s">
        <v>99</v>
      </c>
      <c r="C39" s="8" t="s">
        <v>38</v>
      </c>
      <c r="D39" s="29" t="s">
        <v>1</v>
      </c>
      <c r="E39" s="226"/>
      <c r="F39" s="1">
        <v>0</v>
      </c>
      <c r="G39" s="1">
        <v>0</v>
      </c>
      <c r="H39" s="1">
        <v>0</v>
      </c>
      <c r="I39" s="226"/>
      <c r="J39" s="1">
        <v>0</v>
      </c>
      <c r="K39" s="1">
        <v>0</v>
      </c>
      <c r="L39" s="1">
        <v>0</v>
      </c>
      <c r="M39" s="513"/>
      <c r="N39" s="1">
        <v>1874.92</v>
      </c>
      <c r="O39" s="1">
        <v>1874.92</v>
      </c>
      <c r="P39" s="1">
        <v>0</v>
      </c>
      <c r="Q39" s="226"/>
      <c r="R39" s="1">
        <v>0</v>
      </c>
      <c r="S39" s="1">
        <v>0</v>
      </c>
      <c r="T39" s="1">
        <v>0</v>
      </c>
      <c r="U39" s="226"/>
      <c r="V39" s="1">
        <f t="shared" si="1"/>
        <v>1874.92</v>
      </c>
      <c r="W39" s="1">
        <f t="shared" si="1"/>
        <v>1874.92</v>
      </c>
      <c r="X39" s="1">
        <f t="shared" si="1"/>
        <v>0</v>
      </c>
      <c r="Z39" s="1">
        <f t="shared" si="0"/>
        <v>0</v>
      </c>
      <c r="AA39" s="1">
        <f t="shared" si="0"/>
        <v>0</v>
      </c>
      <c r="AB39" s="1">
        <f t="shared" si="0"/>
        <v>0</v>
      </c>
      <c r="AD39" s="227">
        <v>0</v>
      </c>
      <c r="AE39" s="227">
        <v>0</v>
      </c>
      <c r="AF39" s="227">
        <v>0</v>
      </c>
      <c r="AG39" s="226"/>
      <c r="AH39" s="514"/>
    </row>
    <row r="40" spans="1:34" x14ac:dyDescent="0.2">
      <c r="A40" s="8">
        <v>12380</v>
      </c>
      <c r="B40" s="8" t="s">
        <v>47</v>
      </c>
      <c r="C40" s="8" t="s">
        <v>18</v>
      </c>
      <c r="D40" s="29" t="s">
        <v>2</v>
      </c>
      <c r="E40" s="226">
        <v>1</v>
      </c>
      <c r="F40" s="1">
        <v>7571</v>
      </c>
      <c r="G40" s="1">
        <v>7420</v>
      </c>
      <c r="H40" s="1">
        <v>151</v>
      </c>
      <c r="I40" s="226"/>
      <c r="J40" s="1">
        <v>0</v>
      </c>
      <c r="K40" s="1">
        <v>0</v>
      </c>
      <c r="L40" s="1">
        <v>0</v>
      </c>
      <c r="M40" s="513"/>
      <c r="N40" s="1">
        <v>0</v>
      </c>
      <c r="O40" s="1">
        <v>0</v>
      </c>
      <c r="P40" s="1">
        <v>0</v>
      </c>
      <c r="Q40" s="226"/>
      <c r="R40" s="1">
        <v>0</v>
      </c>
      <c r="S40" s="1">
        <v>0</v>
      </c>
      <c r="T40" s="1">
        <v>0</v>
      </c>
      <c r="U40" s="226"/>
      <c r="V40" s="1">
        <f t="shared" si="1"/>
        <v>7571</v>
      </c>
      <c r="W40" s="1">
        <f t="shared" si="1"/>
        <v>7420</v>
      </c>
      <c r="X40" s="1">
        <f t="shared" si="1"/>
        <v>151</v>
      </c>
      <c r="Z40" s="1">
        <f t="shared" si="0"/>
        <v>7571</v>
      </c>
      <c r="AA40" s="1">
        <f t="shared" si="0"/>
        <v>7420</v>
      </c>
      <c r="AB40" s="1">
        <f t="shared" si="0"/>
        <v>151</v>
      </c>
      <c r="AD40" s="227">
        <v>0</v>
      </c>
      <c r="AE40" s="227">
        <v>0</v>
      </c>
      <c r="AF40" s="227">
        <v>0</v>
      </c>
      <c r="AG40" s="226"/>
      <c r="AH40" s="514"/>
    </row>
    <row r="41" spans="1:34" x14ac:dyDescent="0.2">
      <c r="A41" s="8">
        <v>12390</v>
      </c>
      <c r="B41" s="8" t="s">
        <v>100</v>
      </c>
      <c r="C41" s="8" t="s">
        <v>38</v>
      </c>
      <c r="D41" s="29" t="s">
        <v>1</v>
      </c>
      <c r="E41" s="226"/>
      <c r="F41" s="1">
        <v>0</v>
      </c>
      <c r="G41" s="1">
        <v>0</v>
      </c>
      <c r="H41" s="1">
        <v>0</v>
      </c>
      <c r="I41" s="226">
        <v>1</v>
      </c>
      <c r="J41" s="1">
        <v>6808.7</v>
      </c>
      <c r="K41" s="1">
        <v>2120.2299999999996</v>
      </c>
      <c r="L41" s="1">
        <v>4688.47</v>
      </c>
      <c r="M41" s="513"/>
      <c r="N41" s="1">
        <v>0</v>
      </c>
      <c r="O41" s="1">
        <v>0</v>
      </c>
      <c r="P41" s="1">
        <v>0</v>
      </c>
      <c r="Q41" s="226"/>
      <c r="R41" s="1">
        <v>0</v>
      </c>
      <c r="S41" s="1">
        <v>0</v>
      </c>
      <c r="T41" s="1">
        <v>0</v>
      </c>
      <c r="U41" s="226"/>
      <c r="V41" s="1">
        <f t="shared" si="1"/>
        <v>6808.7</v>
      </c>
      <c r="W41" s="1">
        <f t="shared" si="1"/>
        <v>2120.2299999999996</v>
      </c>
      <c r="X41" s="1">
        <f t="shared" si="1"/>
        <v>4688.47</v>
      </c>
      <c r="Z41" s="1">
        <f t="shared" si="0"/>
        <v>6808.7</v>
      </c>
      <c r="AA41" s="1">
        <f t="shared" si="0"/>
        <v>2120.2299999999996</v>
      </c>
      <c r="AB41" s="1">
        <f t="shared" si="0"/>
        <v>4688.47</v>
      </c>
      <c r="AD41" s="227">
        <v>116</v>
      </c>
      <c r="AE41" s="227">
        <v>116</v>
      </c>
      <c r="AF41" s="227">
        <v>0</v>
      </c>
      <c r="AG41" s="226"/>
      <c r="AH41" s="514"/>
    </row>
    <row r="42" spans="1:34" x14ac:dyDescent="0.2">
      <c r="A42" s="8">
        <v>12700</v>
      </c>
      <c r="B42" s="8" t="s">
        <v>101</v>
      </c>
      <c r="C42" s="8" t="s">
        <v>23</v>
      </c>
      <c r="D42" s="29" t="s">
        <v>3</v>
      </c>
      <c r="E42" s="226"/>
      <c r="F42" s="1">
        <v>0</v>
      </c>
      <c r="G42" s="1">
        <v>0</v>
      </c>
      <c r="H42" s="1">
        <v>0</v>
      </c>
      <c r="I42" s="226"/>
      <c r="J42" s="1">
        <v>0</v>
      </c>
      <c r="K42" s="1">
        <v>0</v>
      </c>
      <c r="L42" s="1">
        <v>0</v>
      </c>
      <c r="M42" s="513"/>
      <c r="N42" s="1">
        <v>391.44</v>
      </c>
      <c r="O42" s="1">
        <v>391.44</v>
      </c>
      <c r="P42" s="1">
        <v>0</v>
      </c>
      <c r="Q42" s="226"/>
      <c r="R42" s="1">
        <v>0</v>
      </c>
      <c r="S42" s="1">
        <v>0</v>
      </c>
      <c r="T42" s="1">
        <v>0</v>
      </c>
      <c r="U42" s="226"/>
      <c r="V42" s="1">
        <f t="shared" si="1"/>
        <v>391.44</v>
      </c>
      <c r="W42" s="1">
        <f t="shared" si="1"/>
        <v>391.44</v>
      </c>
      <c r="X42" s="1">
        <f t="shared" si="1"/>
        <v>0</v>
      </c>
      <c r="Z42" s="1">
        <f t="shared" si="0"/>
        <v>0</v>
      </c>
      <c r="AA42" s="1">
        <f t="shared" si="0"/>
        <v>0</v>
      </c>
      <c r="AB42" s="1">
        <f t="shared" si="0"/>
        <v>0</v>
      </c>
      <c r="AD42" s="227">
        <v>0</v>
      </c>
      <c r="AE42" s="227">
        <v>0</v>
      </c>
      <c r="AF42" s="227">
        <v>0</v>
      </c>
      <c r="AG42" s="226"/>
      <c r="AH42" s="514"/>
    </row>
    <row r="43" spans="1:34" x14ac:dyDescent="0.2">
      <c r="A43" s="8">
        <v>12730</v>
      </c>
      <c r="B43" s="8" t="s">
        <v>102</v>
      </c>
      <c r="C43" s="8" t="s">
        <v>66</v>
      </c>
      <c r="D43" s="29" t="s">
        <v>1</v>
      </c>
      <c r="E43" s="226"/>
      <c r="F43" s="1">
        <v>0</v>
      </c>
      <c r="G43" s="1">
        <v>0</v>
      </c>
      <c r="H43" s="1">
        <v>0</v>
      </c>
      <c r="I43" s="226"/>
      <c r="J43" s="1">
        <v>0</v>
      </c>
      <c r="K43" s="1">
        <v>0</v>
      </c>
      <c r="L43" s="1">
        <v>0</v>
      </c>
      <c r="M43" s="513"/>
      <c r="N43" s="1">
        <v>774.03</v>
      </c>
      <c r="O43" s="1">
        <v>0</v>
      </c>
      <c r="P43" s="1">
        <v>774.03</v>
      </c>
      <c r="Q43" s="226"/>
      <c r="R43" s="1">
        <v>0</v>
      </c>
      <c r="S43" s="1">
        <v>0</v>
      </c>
      <c r="T43" s="1">
        <v>0</v>
      </c>
      <c r="U43" s="226"/>
      <c r="V43" s="1">
        <f t="shared" si="1"/>
        <v>774.03</v>
      </c>
      <c r="W43" s="1">
        <f t="shared" si="1"/>
        <v>0</v>
      </c>
      <c r="X43" s="1">
        <f t="shared" si="1"/>
        <v>774.03</v>
      </c>
      <c r="Z43" s="1">
        <f t="shared" si="0"/>
        <v>0</v>
      </c>
      <c r="AA43" s="1">
        <f t="shared" si="0"/>
        <v>0</v>
      </c>
      <c r="AB43" s="1">
        <f t="shared" si="0"/>
        <v>0</v>
      </c>
      <c r="AD43" s="227">
        <v>15.34</v>
      </c>
      <c r="AE43" s="227">
        <v>15.34</v>
      </c>
      <c r="AF43" s="227">
        <v>0</v>
      </c>
      <c r="AG43" s="226"/>
      <c r="AH43" s="514"/>
    </row>
    <row r="44" spans="1:34" x14ac:dyDescent="0.2">
      <c r="A44" s="8">
        <v>12750</v>
      </c>
      <c r="B44" s="8" t="s">
        <v>103</v>
      </c>
      <c r="C44" s="8" t="s">
        <v>67</v>
      </c>
      <c r="D44" s="29" t="s">
        <v>1</v>
      </c>
      <c r="E44" s="226">
        <v>1</v>
      </c>
      <c r="F44" s="1">
        <v>6615.24</v>
      </c>
      <c r="G44" s="1">
        <v>6609</v>
      </c>
      <c r="H44" s="1">
        <v>6.24</v>
      </c>
      <c r="I44" s="226"/>
      <c r="J44" s="1">
        <v>0</v>
      </c>
      <c r="K44" s="1">
        <v>0</v>
      </c>
      <c r="L44" s="1">
        <v>0</v>
      </c>
      <c r="M44" s="513"/>
      <c r="N44" s="1">
        <v>1522.53</v>
      </c>
      <c r="O44" s="1">
        <v>1522.53</v>
      </c>
      <c r="P44" s="1">
        <v>0</v>
      </c>
      <c r="Q44" s="226"/>
      <c r="R44" s="1">
        <v>0</v>
      </c>
      <c r="S44" s="1">
        <v>0</v>
      </c>
      <c r="T44" s="1">
        <v>0</v>
      </c>
      <c r="U44" s="226"/>
      <c r="V44" s="1">
        <f t="shared" si="1"/>
        <v>8137.7699999999995</v>
      </c>
      <c r="W44" s="1">
        <f t="shared" si="1"/>
        <v>8131.53</v>
      </c>
      <c r="X44" s="1">
        <f t="shared" si="1"/>
        <v>6.24</v>
      </c>
      <c r="Z44" s="1">
        <f t="shared" si="0"/>
        <v>6615.24</v>
      </c>
      <c r="AA44" s="1">
        <f t="shared" si="0"/>
        <v>6609</v>
      </c>
      <c r="AB44" s="1">
        <f t="shared" si="0"/>
        <v>6.24</v>
      </c>
      <c r="AD44" s="227">
        <v>344.61</v>
      </c>
      <c r="AE44" s="227">
        <v>344.61</v>
      </c>
      <c r="AF44" s="227">
        <v>0</v>
      </c>
      <c r="AG44" s="226"/>
      <c r="AH44" s="514"/>
    </row>
    <row r="45" spans="1:34" x14ac:dyDescent="0.2">
      <c r="A45" s="8">
        <v>12850</v>
      </c>
      <c r="B45" s="8" t="s">
        <v>104</v>
      </c>
      <c r="C45" s="8" t="s">
        <v>18</v>
      </c>
      <c r="D45" s="29" t="s">
        <v>2</v>
      </c>
      <c r="E45" s="226"/>
      <c r="F45" s="1">
        <v>0</v>
      </c>
      <c r="G45" s="1">
        <v>0</v>
      </c>
      <c r="H45" s="1">
        <v>0</v>
      </c>
      <c r="I45" s="226"/>
      <c r="J45" s="1">
        <v>0</v>
      </c>
      <c r="K45" s="1">
        <v>0</v>
      </c>
      <c r="L45" s="1">
        <v>0</v>
      </c>
      <c r="M45" s="513"/>
      <c r="N45" s="1">
        <v>1105.32</v>
      </c>
      <c r="O45" s="1">
        <v>1105.32</v>
      </c>
      <c r="P45" s="1">
        <v>0</v>
      </c>
      <c r="Q45" s="226"/>
      <c r="R45" s="1">
        <v>0</v>
      </c>
      <c r="S45" s="1">
        <v>0</v>
      </c>
      <c r="T45" s="1">
        <v>0</v>
      </c>
      <c r="U45" s="226"/>
      <c r="V45" s="1">
        <f t="shared" si="1"/>
        <v>1105.32</v>
      </c>
      <c r="W45" s="1">
        <f t="shared" si="1"/>
        <v>1105.32</v>
      </c>
      <c r="X45" s="1">
        <f t="shared" si="1"/>
        <v>0</v>
      </c>
      <c r="Z45" s="1">
        <f t="shared" si="0"/>
        <v>0</v>
      </c>
      <c r="AA45" s="1">
        <f t="shared" si="0"/>
        <v>0</v>
      </c>
      <c r="AB45" s="1">
        <f t="shared" si="0"/>
        <v>0</v>
      </c>
      <c r="AD45" s="227">
        <v>0</v>
      </c>
      <c r="AE45" s="227">
        <v>0</v>
      </c>
      <c r="AF45" s="227">
        <v>0</v>
      </c>
      <c r="AG45" s="226"/>
      <c r="AH45" s="514"/>
    </row>
    <row r="46" spans="1:34" x14ac:dyDescent="0.2">
      <c r="A46" s="8">
        <v>12870</v>
      </c>
      <c r="B46" s="8" t="s">
        <v>105</v>
      </c>
      <c r="C46" s="8" t="s">
        <v>66</v>
      </c>
      <c r="D46" s="29" t="s">
        <v>1</v>
      </c>
      <c r="E46" s="226"/>
      <c r="F46" s="1">
        <v>0</v>
      </c>
      <c r="G46" s="1">
        <v>0</v>
      </c>
      <c r="H46" s="1">
        <v>0</v>
      </c>
      <c r="I46" s="226">
        <v>1</v>
      </c>
      <c r="J46" s="1">
        <v>3414</v>
      </c>
      <c r="K46" s="1">
        <v>3414</v>
      </c>
      <c r="L46" s="1">
        <v>0</v>
      </c>
      <c r="M46" s="513"/>
      <c r="N46" s="1">
        <v>0</v>
      </c>
      <c r="O46" s="1">
        <v>0</v>
      </c>
      <c r="P46" s="1">
        <v>0</v>
      </c>
      <c r="Q46" s="226"/>
      <c r="R46" s="1">
        <v>0</v>
      </c>
      <c r="S46" s="1">
        <v>0</v>
      </c>
      <c r="T46" s="1">
        <v>0</v>
      </c>
      <c r="U46" s="226"/>
      <c r="V46" s="1">
        <f t="shared" si="1"/>
        <v>3414</v>
      </c>
      <c r="W46" s="1">
        <f t="shared" si="1"/>
        <v>3414</v>
      </c>
      <c r="X46" s="1">
        <f t="shared" si="1"/>
        <v>0</v>
      </c>
      <c r="Z46" s="1">
        <f t="shared" si="0"/>
        <v>3414</v>
      </c>
      <c r="AA46" s="1">
        <f t="shared" si="0"/>
        <v>3414</v>
      </c>
      <c r="AB46" s="1">
        <f t="shared" si="0"/>
        <v>0</v>
      </c>
      <c r="AD46" s="227">
        <v>0</v>
      </c>
      <c r="AE46" s="227">
        <v>0</v>
      </c>
      <c r="AF46" s="227">
        <v>0</v>
      </c>
      <c r="AG46" s="226"/>
      <c r="AH46" s="514"/>
    </row>
    <row r="47" spans="1:34" x14ac:dyDescent="0.2">
      <c r="A47" s="8">
        <v>12900</v>
      </c>
      <c r="B47" s="8" t="s">
        <v>106</v>
      </c>
      <c r="C47" s="8" t="s">
        <v>38</v>
      </c>
      <c r="D47" s="29" t="s">
        <v>1</v>
      </c>
      <c r="E47" s="226"/>
      <c r="F47" s="1">
        <v>0</v>
      </c>
      <c r="G47" s="1">
        <v>0</v>
      </c>
      <c r="H47" s="1">
        <v>0</v>
      </c>
      <c r="I47" s="226">
        <v>1</v>
      </c>
      <c r="J47" s="1">
        <v>1219</v>
      </c>
      <c r="K47" s="1">
        <v>1219</v>
      </c>
      <c r="L47" s="1">
        <v>0</v>
      </c>
      <c r="M47" s="513"/>
      <c r="N47" s="1">
        <v>1444</v>
      </c>
      <c r="O47" s="1">
        <v>1144</v>
      </c>
      <c r="P47" s="1">
        <v>300</v>
      </c>
      <c r="Q47" s="226"/>
      <c r="R47" s="1">
        <v>2</v>
      </c>
      <c r="S47" s="1">
        <v>2</v>
      </c>
      <c r="T47" s="1">
        <v>0</v>
      </c>
      <c r="U47" s="226"/>
      <c r="V47" s="1">
        <f t="shared" si="1"/>
        <v>2665</v>
      </c>
      <c r="W47" s="1">
        <f t="shared" si="1"/>
        <v>2365</v>
      </c>
      <c r="X47" s="1">
        <f t="shared" si="1"/>
        <v>300</v>
      </c>
      <c r="Z47" s="1">
        <f t="shared" si="0"/>
        <v>1219</v>
      </c>
      <c r="AA47" s="1">
        <f t="shared" si="0"/>
        <v>1219</v>
      </c>
      <c r="AB47" s="1">
        <f t="shared" si="0"/>
        <v>0</v>
      </c>
      <c r="AD47" s="227">
        <v>0</v>
      </c>
      <c r="AE47" s="227">
        <v>0</v>
      </c>
      <c r="AF47" s="227">
        <v>0</v>
      </c>
      <c r="AG47" s="226"/>
      <c r="AH47" s="514"/>
    </row>
    <row r="48" spans="1:34" x14ac:dyDescent="0.2">
      <c r="A48" s="8">
        <v>12930</v>
      </c>
      <c r="B48" s="8" t="s">
        <v>48</v>
      </c>
      <c r="C48" s="8" t="s">
        <v>17</v>
      </c>
      <c r="D48" s="29" t="s">
        <v>2</v>
      </c>
      <c r="E48" s="226">
        <v>1</v>
      </c>
      <c r="F48" s="1">
        <v>12575</v>
      </c>
      <c r="G48" s="1">
        <v>12575</v>
      </c>
      <c r="H48" s="1">
        <v>0</v>
      </c>
      <c r="I48" s="226"/>
      <c r="J48" s="1">
        <v>0</v>
      </c>
      <c r="K48" s="1">
        <v>0</v>
      </c>
      <c r="L48" s="1">
        <v>0</v>
      </c>
      <c r="M48" s="513"/>
      <c r="N48" s="1">
        <v>0</v>
      </c>
      <c r="O48" s="1">
        <v>0</v>
      </c>
      <c r="P48" s="1">
        <v>0</v>
      </c>
      <c r="Q48" s="226"/>
      <c r="R48" s="1">
        <v>0</v>
      </c>
      <c r="S48" s="1">
        <v>0</v>
      </c>
      <c r="T48" s="1">
        <v>0</v>
      </c>
      <c r="U48" s="226"/>
      <c r="V48" s="1">
        <f t="shared" si="1"/>
        <v>12575</v>
      </c>
      <c r="W48" s="1">
        <f t="shared" si="1"/>
        <v>12575</v>
      </c>
      <c r="X48" s="1">
        <f t="shared" si="1"/>
        <v>0</v>
      </c>
      <c r="Z48" s="1">
        <f t="shared" si="0"/>
        <v>12575</v>
      </c>
      <c r="AA48" s="1">
        <f t="shared" si="0"/>
        <v>12575</v>
      </c>
      <c r="AB48" s="1">
        <f t="shared" si="0"/>
        <v>0</v>
      </c>
      <c r="AD48" s="227">
        <v>0</v>
      </c>
      <c r="AE48" s="227">
        <v>0</v>
      </c>
      <c r="AF48" s="227">
        <v>0</v>
      </c>
      <c r="AG48" s="226"/>
      <c r="AH48" s="514"/>
    </row>
    <row r="49" spans="1:34" x14ac:dyDescent="0.2">
      <c r="A49" s="8">
        <v>12950</v>
      </c>
      <c r="B49" s="8" t="s">
        <v>107</v>
      </c>
      <c r="C49" s="8" t="s">
        <v>38</v>
      </c>
      <c r="D49" s="29" t="s">
        <v>1</v>
      </c>
      <c r="E49" s="226"/>
      <c r="F49" s="1">
        <v>0</v>
      </c>
      <c r="G49" s="1">
        <v>0</v>
      </c>
      <c r="H49" s="1">
        <v>0</v>
      </c>
      <c r="I49" s="226"/>
      <c r="J49" s="1">
        <v>0</v>
      </c>
      <c r="K49" s="1">
        <v>0</v>
      </c>
      <c r="L49" s="1">
        <v>0</v>
      </c>
      <c r="M49" s="513"/>
      <c r="N49" s="1">
        <v>24</v>
      </c>
      <c r="O49" s="1">
        <v>24</v>
      </c>
      <c r="P49" s="1">
        <v>0</v>
      </c>
      <c r="Q49" s="226"/>
      <c r="R49" s="1">
        <v>0</v>
      </c>
      <c r="S49" s="1">
        <v>0</v>
      </c>
      <c r="T49" s="1">
        <v>0</v>
      </c>
      <c r="U49" s="226"/>
      <c r="V49" s="1">
        <f t="shared" si="1"/>
        <v>24</v>
      </c>
      <c r="W49" s="1">
        <f t="shared" si="1"/>
        <v>24</v>
      </c>
      <c r="X49" s="1">
        <f t="shared" si="1"/>
        <v>0</v>
      </c>
      <c r="Z49" s="1">
        <f t="shared" si="0"/>
        <v>0</v>
      </c>
      <c r="AA49" s="1">
        <f t="shared" si="0"/>
        <v>0</v>
      </c>
      <c r="AB49" s="1">
        <f t="shared" si="0"/>
        <v>0</v>
      </c>
      <c r="AD49" s="227">
        <v>0</v>
      </c>
      <c r="AE49" s="227">
        <v>0</v>
      </c>
      <c r="AF49" s="227">
        <v>0</v>
      </c>
      <c r="AG49" s="226"/>
      <c r="AH49" s="514"/>
    </row>
    <row r="50" spans="1:34" x14ac:dyDescent="0.2">
      <c r="A50" s="8">
        <v>13010</v>
      </c>
      <c r="B50" s="8" t="s">
        <v>108</v>
      </c>
      <c r="C50" s="8" t="s">
        <v>16</v>
      </c>
      <c r="D50" s="29" t="s">
        <v>1</v>
      </c>
      <c r="E50" s="226"/>
      <c r="F50" s="1">
        <v>0</v>
      </c>
      <c r="G50" s="1">
        <v>0</v>
      </c>
      <c r="H50" s="1">
        <v>0</v>
      </c>
      <c r="I50" s="226"/>
      <c r="J50" s="1">
        <v>0</v>
      </c>
      <c r="K50" s="1">
        <v>0</v>
      </c>
      <c r="L50" s="1">
        <v>0</v>
      </c>
      <c r="M50" s="513"/>
      <c r="N50" s="1">
        <v>1207.3800000000001</v>
      </c>
      <c r="O50" s="1">
        <v>1207.3800000000001</v>
      </c>
      <c r="P50" s="1">
        <v>0</v>
      </c>
      <c r="Q50" s="226"/>
      <c r="R50" s="1">
        <v>0</v>
      </c>
      <c r="S50" s="1">
        <v>0</v>
      </c>
      <c r="T50" s="1">
        <v>0</v>
      </c>
      <c r="U50" s="226"/>
      <c r="V50" s="1">
        <f t="shared" si="1"/>
        <v>1207.3800000000001</v>
      </c>
      <c r="W50" s="1">
        <f t="shared" si="1"/>
        <v>1207.3800000000001</v>
      </c>
      <c r="X50" s="1">
        <f t="shared" si="1"/>
        <v>0</v>
      </c>
      <c r="Z50" s="1">
        <f t="shared" si="0"/>
        <v>0</v>
      </c>
      <c r="AA50" s="1">
        <f t="shared" si="0"/>
        <v>0</v>
      </c>
      <c r="AB50" s="1">
        <f t="shared" si="0"/>
        <v>0</v>
      </c>
      <c r="AD50" s="227">
        <v>0</v>
      </c>
      <c r="AE50" s="227">
        <v>0</v>
      </c>
      <c r="AF50" s="227">
        <v>0</v>
      </c>
      <c r="AG50" s="226"/>
      <c r="AH50" s="514"/>
    </row>
    <row r="51" spans="1:34" x14ac:dyDescent="0.2">
      <c r="A51" s="8">
        <v>13310</v>
      </c>
      <c r="B51" s="8" t="s">
        <v>109</v>
      </c>
      <c r="C51" s="8" t="s">
        <v>67</v>
      </c>
      <c r="D51" s="29" t="s">
        <v>1</v>
      </c>
      <c r="E51" s="226"/>
      <c r="F51" s="1">
        <v>0</v>
      </c>
      <c r="G51" s="1">
        <v>0</v>
      </c>
      <c r="H51" s="1">
        <v>0</v>
      </c>
      <c r="I51" s="226">
        <v>1</v>
      </c>
      <c r="J51" s="1">
        <v>3555.8</v>
      </c>
      <c r="K51" s="1">
        <v>3496.86</v>
      </c>
      <c r="L51" s="1">
        <v>58.94</v>
      </c>
      <c r="M51" s="513"/>
      <c r="N51" s="1">
        <v>706</v>
      </c>
      <c r="O51" s="1">
        <v>706</v>
      </c>
      <c r="P51" s="1">
        <v>0</v>
      </c>
      <c r="Q51" s="226"/>
      <c r="R51" s="1">
        <v>7.5</v>
      </c>
      <c r="S51" s="1">
        <v>7.5</v>
      </c>
      <c r="T51" s="1">
        <v>0</v>
      </c>
      <c r="U51" s="226"/>
      <c r="V51" s="1">
        <f t="shared" si="1"/>
        <v>4269.3</v>
      </c>
      <c r="W51" s="1">
        <f t="shared" si="1"/>
        <v>4210.3600000000006</v>
      </c>
      <c r="X51" s="1">
        <f t="shared" si="1"/>
        <v>58.94</v>
      </c>
      <c r="Z51" s="1">
        <f t="shared" si="0"/>
        <v>3555.8</v>
      </c>
      <c r="AA51" s="1">
        <f t="shared" si="0"/>
        <v>3496.86</v>
      </c>
      <c r="AB51" s="1">
        <f t="shared" si="0"/>
        <v>58.94</v>
      </c>
      <c r="AD51" s="227">
        <v>656.16</v>
      </c>
      <c r="AE51" s="227">
        <v>655.16</v>
      </c>
      <c r="AF51" s="227">
        <v>1</v>
      </c>
      <c r="AG51" s="226"/>
      <c r="AH51" s="514"/>
    </row>
    <row r="52" spans="1:34" x14ac:dyDescent="0.2">
      <c r="A52" s="8">
        <v>13340</v>
      </c>
      <c r="B52" s="8" t="s">
        <v>110</v>
      </c>
      <c r="C52" s="8" t="s">
        <v>21</v>
      </c>
      <c r="D52" s="29" t="s">
        <v>1</v>
      </c>
      <c r="E52" s="226"/>
      <c r="F52" s="1">
        <v>0</v>
      </c>
      <c r="G52" s="1">
        <v>0</v>
      </c>
      <c r="H52" s="1">
        <v>0</v>
      </c>
      <c r="I52" s="226"/>
      <c r="J52" s="1">
        <v>0</v>
      </c>
      <c r="K52" s="1">
        <v>0</v>
      </c>
      <c r="L52" s="1">
        <v>0</v>
      </c>
      <c r="M52" s="513"/>
      <c r="N52" s="1">
        <v>50</v>
      </c>
      <c r="O52" s="1">
        <v>50</v>
      </c>
      <c r="P52" s="1">
        <v>0</v>
      </c>
      <c r="Q52" s="226"/>
      <c r="R52" s="1">
        <v>0</v>
      </c>
      <c r="S52" s="1">
        <v>0</v>
      </c>
      <c r="T52" s="1">
        <v>0</v>
      </c>
      <c r="U52" s="226"/>
      <c r="V52" s="1">
        <f t="shared" si="1"/>
        <v>50</v>
      </c>
      <c r="W52" s="1">
        <f t="shared" si="1"/>
        <v>50</v>
      </c>
      <c r="X52" s="1">
        <f t="shared" si="1"/>
        <v>0</v>
      </c>
      <c r="Z52" s="1">
        <f t="shared" si="0"/>
        <v>0</v>
      </c>
      <c r="AA52" s="1">
        <f t="shared" si="0"/>
        <v>0</v>
      </c>
      <c r="AB52" s="1">
        <f t="shared" si="0"/>
        <v>0</v>
      </c>
      <c r="AD52" s="227">
        <v>0</v>
      </c>
      <c r="AE52" s="227">
        <v>0</v>
      </c>
      <c r="AF52" s="227">
        <v>0</v>
      </c>
      <c r="AG52" s="226"/>
      <c r="AH52" s="514"/>
    </row>
    <row r="53" spans="1:34" x14ac:dyDescent="0.2">
      <c r="A53" s="8">
        <v>13450</v>
      </c>
      <c r="B53" s="8" t="s">
        <v>111</v>
      </c>
      <c r="C53" s="8" t="s">
        <v>68</v>
      </c>
      <c r="D53" s="29" t="s">
        <v>1</v>
      </c>
      <c r="E53" s="226"/>
      <c r="F53" s="1">
        <v>0</v>
      </c>
      <c r="G53" s="1">
        <v>0</v>
      </c>
      <c r="H53" s="1">
        <v>0</v>
      </c>
      <c r="I53" s="226"/>
      <c r="J53" s="1">
        <v>0</v>
      </c>
      <c r="K53" s="1">
        <v>0</v>
      </c>
      <c r="L53" s="1">
        <v>0</v>
      </c>
      <c r="M53" s="513"/>
      <c r="N53" s="1">
        <v>0</v>
      </c>
      <c r="O53" s="1">
        <v>0</v>
      </c>
      <c r="P53" s="1">
        <v>0</v>
      </c>
      <c r="Q53" s="226"/>
      <c r="R53" s="1">
        <v>0</v>
      </c>
      <c r="S53" s="1">
        <v>0</v>
      </c>
      <c r="T53" s="1">
        <v>0</v>
      </c>
      <c r="U53" s="226"/>
      <c r="V53" s="1">
        <f t="shared" si="1"/>
        <v>0</v>
      </c>
      <c r="W53" s="1">
        <f t="shared" si="1"/>
        <v>0</v>
      </c>
      <c r="X53" s="1">
        <f t="shared" si="1"/>
        <v>0</v>
      </c>
      <c r="Z53" s="1">
        <f t="shared" si="0"/>
        <v>0</v>
      </c>
      <c r="AA53" s="1">
        <f t="shared" si="0"/>
        <v>0</v>
      </c>
      <c r="AB53" s="1">
        <f t="shared" si="0"/>
        <v>0</v>
      </c>
      <c r="AD53" s="227">
        <v>0</v>
      </c>
      <c r="AE53" s="227">
        <v>0</v>
      </c>
      <c r="AF53" s="227">
        <v>0</v>
      </c>
      <c r="AG53" s="226"/>
      <c r="AH53" s="514"/>
    </row>
    <row r="54" spans="1:34" x14ac:dyDescent="0.2">
      <c r="A54" s="8">
        <v>13550</v>
      </c>
      <c r="B54" s="8" t="s">
        <v>70</v>
      </c>
      <c r="C54" s="8" t="s">
        <v>16</v>
      </c>
      <c r="D54" s="29" t="s">
        <v>1</v>
      </c>
      <c r="E54" s="226">
        <v>1</v>
      </c>
      <c r="F54" s="1">
        <v>1161.56</v>
      </c>
      <c r="G54" s="1">
        <v>1132.6199999999999</v>
      </c>
      <c r="H54" s="1">
        <v>28.94</v>
      </c>
      <c r="I54" s="226"/>
      <c r="J54" s="1">
        <v>0</v>
      </c>
      <c r="K54" s="1">
        <v>0</v>
      </c>
      <c r="L54" s="1">
        <v>0</v>
      </c>
      <c r="M54" s="513"/>
      <c r="N54" s="1">
        <v>1419.76</v>
      </c>
      <c r="O54" s="1">
        <v>1409.76</v>
      </c>
      <c r="P54" s="1">
        <v>10</v>
      </c>
      <c r="Q54" s="226"/>
      <c r="R54" s="1">
        <v>0</v>
      </c>
      <c r="S54" s="1">
        <v>0</v>
      </c>
      <c r="T54" s="1">
        <v>0</v>
      </c>
      <c r="U54" s="226"/>
      <c r="V54" s="1">
        <f t="shared" si="1"/>
        <v>2581.3199999999997</v>
      </c>
      <c r="W54" s="1">
        <f t="shared" si="1"/>
        <v>2542.38</v>
      </c>
      <c r="X54" s="1">
        <f t="shared" si="1"/>
        <v>38.94</v>
      </c>
      <c r="Z54" s="1">
        <f t="shared" si="0"/>
        <v>1161.56</v>
      </c>
      <c r="AA54" s="1">
        <f t="shared" si="0"/>
        <v>1132.6199999999999</v>
      </c>
      <c r="AB54" s="1">
        <f t="shared" si="0"/>
        <v>28.94</v>
      </c>
      <c r="AD54" s="227">
        <v>218.66</v>
      </c>
      <c r="AE54" s="227">
        <v>218.66</v>
      </c>
      <c r="AF54" s="227">
        <v>0</v>
      </c>
      <c r="AG54" s="226"/>
      <c r="AH54" s="514"/>
    </row>
    <row r="55" spans="1:34" x14ac:dyDescent="0.2">
      <c r="A55" s="8">
        <v>13660</v>
      </c>
      <c r="B55" s="8" t="s">
        <v>112</v>
      </c>
      <c r="C55" s="8" t="s">
        <v>16</v>
      </c>
      <c r="D55" s="29" t="s">
        <v>1</v>
      </c>
      <c r="E55" s="226"/>
      <c r="F55" s="1">
        <v>0</v>
      </c>
      <c r="G55" s="1">
        <v>0</v>
      </c>
      <c r="H55" s="1">
        <v>0</v>
      </c>
      <c r="I55" s="226">
        <v>1</v>
      </c>
      <c r="J55" s="1">
        <v>191</v>
      </c>
      <c r="K55" s="1">
        <v>181</v>
      </c>
      <c r="L55" s="1">
        <v>10</v>
      </c>
      <c r="M55" s="513"/>
      <c r="N55" s="1">
        <v>380.71</v>
      </c>
      <c r="O55" s="1">
        <v>378.71</v>
      </c>
      <c r="P55" s="1">
        <v>2</v>
      </c>
      <c r="Q55" s="226"/>
      <c r="R55" s="1">
        <v>0</v>
      </c>
      <c r="S55" s="1">
        <v>0</v>
      </c>
      <c r="T55" s="1">
        <v>0</v>
      </c>
      <c r="U55" s="226"/>
      <c r="V55" s="1">
        <f t="shared" si="1"/>
        <v>571.71</v>
      </c>
      <c r="W55" s="1">
        <f t="shared" si="1"/>
        <v>559.71</v>
      </c>
      <c r="X55" s="1">
        <f t="shared" si="1"/>
        <v>12</v>
      </c>
      <c r="Z55" s="1">
        <f t="shared" si="0"/>
        <v>191</v>
      </c>
      <c r="AA55" s="1">
        <f t="shared" si="0"/>
        <v>181</v>
      </c>
      <c r="AB55" s="1">
        <f t="shared" si="0"/>
        <v>10</v>
      </c>
      <c r="AD55" s="227">
        <v>8</v>
      </c>
      <c r="AE55" s="227">
        <v>8</v>
      </c>
      <c r="AF55" s="227">
        <v>0</v>
      </c>
      <c r="AG55" s="226"/>
      <c r="AH55" s="514"/>
    </row>
    <row r="56" spans="1:34" x14ac:dyDescent="0.2">
      <c r="A56" s="8">
        <v>13800</v>
      </c>
      <c r="B56" s="8" t="s">
        <v>113</v>
      </c>
      <c r="C56" s="8" t="s">
        <v>18</v>
      </c>
      <c r="D56" s="29" t="s">
        <v>2</v>
      </c>
      <c r="E56" s="226">
        <v>1</v>
      </c>
      <c r="F56" s="1">
        <v>5017</v>
      </c>
      <c r="G56" s="1">
        <v>5017</v>
      </c>
      <c r="H56" s="1">
        <v>0</v>
      </c>
      <c r="I56" s="226"/>
      <c r="J56" s="1">
        <v>0</v>
      </c>
      <c r="K56" s="1">
        <v>0</v>
      </c>
      <c r="L56" s="1">
        <v>0</v>
      </c>
      <c r="M56" s="513"/>
      <c r="N56" s="1">
        <v>652</v>
      </c>
      <c r="O56" s="1">
        <v>652</v>
      </c>
      <c r="P56" s="1">
        <v>0</v>
      </c>
      <c r="Q56" s="226"/>
      <c r="R56" s="1">
        <v>0</v>
      </c>
      <c r="S56" s="1">
        <v>0</v>
      </c>
      <c r="T56" s="1">
        <v>0</v>
      </c>
      <c r="U56" s="226"/>
      <c r="V56" s="1">
        <f t="shared" si="1"/>
        <v>5669</v>
      </c>
      <c r="W56" s="1">
        <f t="shared" si="1"/>
        <v>5669</v>
      </c>
      <c r="X56" s="1">
        <f t="shared" si="1"/>
        <v>0</v>
      </c>
      <c r="Z56" s="1">
        <f t="shared" si="0"/>
        <v>5017</v>
      </c>
      <c r="AA56" s="1">
        <f t="shared" si="0"/>
        <v>5017</v>
      </c>
      <c r="AB56" s="1">
        <f t="shared" si="0"/>
        <v>0</v>
      </c>
      <c r="AD56" s="227">
        <v>21</v>
      </c>
      <c r="AE56" s="227">
        <v>21</v>
      </c>
      <c r="AF56" s="227">
        <v>0</v>
      </c>
      <c r="AG56" s="226"/>
      <c r="AH56" s="514"/>
    </row>
    <row r="57" spans="1:34" x14ac:dyDescent="0.2">
      <c r="A57" s="8">
        <v>13850</v>
      </c>
      <c r="B57" s="8" t="s">
        <v>114</v>
      </c>
      <c r="C57" s="8" t="s">
        <v>68</v>
      </c>
      <c r="D57" s="29" t="s">
        <v>1</v>
      </c>
      <c r="E57" s="226"/>
      <c r="F57" s="1">
        <v>0</v>
      </c>
      <c r="G57" s="1">
        <v>0</v>
      </c>
      <c r="H57" s="1">
        <v>0</v>
      </c>
      <c r="I57" s="226"/>
      <c r="J57" s="1">
        <v>0</v>
      </c>
      <c r="K57" s="1">
        <v>0</v>
      </c>
      <c r="L57" s="1">
        <v>0</v>
      </c>
      <c r="M57" s="513"/>
      <c r="N57" s="1">
        <v>3800</v>
      </c>
      <c r="O57" s="1">
        <v>3800</v>
      </c>
      <c r="P57" s="1">
        <v>0</v>
      </c>
      <c r="Q57" s="226"/>
      <c r="R57" s="1">
        <v>0</v>
      </c>
      <c r="S57" s="1">
        <v>0</v>
      </c>
      <c r="T57" s="1">
        <v>0</v>
      </c>
      <c r="U57" s="226"/>
      <c r="V57" s="1">
        <f t="shared" si="1"/>
        <v>3800</v>
      </c>
      <c r="W57" s="1">
        <f t="shared" si="1"/>
        <v>3800</v>
      </c>
      <c r="X57" s="1">
        <f t="shared" si="1"/>
        <v>0</v>
      </c>
      <c r="Z57" s="1">
        <f t="shared" si="0"/>
        <v>0</v>
      </c>
      <c r="AA57" s="1">
        <f t="shared" si="0"/>
        <v>0</v>
      </c>
      <c r="AB57" s="1">
        <f t="shared" si="0"/>
        <v>0</v>
      </c>
      <c r="AD57" s="227">
        <v>0</v>
      </c>
      <c r="AE57" s="227">
        <v>0</v>
      </c>
      <c r="AF57" s="227">
        <v>0</v>
      </c>
      <c r="AG57" s="226"/>
      <c r="AH57" s="514"/>
    </row>
    <row r="58" spans="1:34" x14ac:dyDescent="0.2">
      <c r="A58" s="8">
        <v>13910</v>
      </c>
      <c r="B58" s="8" t="s">
        <v>115</v>
      </c>
      <c r="C58" s="8" t="s">
        <v>67</v>
      </c>
      <c r="D58" s="29" t="s">
        <v>1</v>
      </c>
      <c r="E58" s="226">
        <v>1</v>
      </c>
      <c r="F58" s="1">
        <v>7332</v>
      </c>
      <c r="G58" s="1">
        <v>0</v>
      </c>
      <c r="H58" s="1">
        <v>7332</v>
      </c>
      <c r="I58" s="226"/>
      <c r="J58" s="1">
        <v>0</v>
      </c>
      <c r="K58" s="1">
        <v>0</v>
      </c>
      <c r="L58" s="1">
        <v>0</v>
      </c>
      <c r="M58" s="513"/>
      <c r="N58" s="1">
        <v>2430</v>
      </c>
      <c r="O58" s="1">
        <v>0</v>
      </c>
      <c r="P58" s="1">
        <v>2430</v>
      </c>
      <c r="Q58" s="226"/>
      <c r="R58" s="1">
        <v>0</v>
      </c>
      <c r="S58" s="1">
        <v>0</v>
      </c>
      <c r="T58" s="1">
        <v>0</v>
      </c>
      <c r="U58" s="226"/>
      <c r="V58" s="1">
        <f t="shared" si="1"/>
        <v>9762</v>
      </c>
      <c r="W58" s="1">
        <f t="shared" si="1"/>
        <v>0</v>
      </c>
      <c r="X58" s="1">
        <f t="shared" si="1"/>
        <v>9762</v>
      </c>
      <c r="Z58" s="1">
        <f t="shared" si="0"/>
        <v>7332</v>
      </c>
      <c r="AA58" s="1">
        <f t="shared" si="0"/>
        <v>0</v>
      </c>
      <c r="AB58" s="1">
        <f t="shared" si="0"/>
        <v>7332</v>
      </c>
      <c r="AD58" s="227">
        <v>2430</v>
      </c>
      <c r="AE58" s="227">
        <v>2429</v>
      </c>
      <c r="AF58" s="227">
        <v>1</v>
      </c>
      <c r="AG58" s="226"/>
      <c r="AH58" s="514"/>
    </row>
    <row r="59" spans="1:34" x14ac:dyDescent="0.2">
      <c r="A59" s="8">
        <v>14000</v>
      </c>
      <c r="B59" s="8" t="s">
        <v>116</v>
      </c>
      <c r="C59" s="8" t="s">
        <v>24</v>
      </c>
      <c r="D59" s="29" t="s">
        <v>2</v>
      </c>
      <c r="E59" s="226">
        <v>1</v>
      </c>
      <c r="F59" s="1">
        <v>19076</v>
      </c>
      <c r="G59" s="1">
        <v>19076</v>
      </c>
      <c r="H59" s="1">
        <v>0</v>
      </c>
      <c r="I59" s="226"/>
      <c r="J59" s="1">
        <v>0</v>
      </c>
      <c r="K59" s="1">
        <v>0</v>
      </c>
      <c r="L59" s="1">
        <v>0</v>
      </c>
      <c r="M59" s="513"/>
      <c r="N59" s="1">
        <v>0</v>
      </c>
      <c r="O59" s="1">
        <v>0</v>
      </c>
      <c r="P59" s="1">
        <v>0</v>
      </c>
      <c r="Q59" s="226"/>
      <c r="R59" s="1">
        <v>0</v>
      </c>
      <c r="S59" s="1">
        <v>0</v>
      </c>
      <c r="T59" s="1">
        <v>0</v>
      </c>
      <c r="U59" s="226"/>
      <c r="V59" s="1">
        <f t="shared" si="1"/>
        <v>19076</v>
      </c>
      <c r="W59" s="1">
        <f t="shared" si="1"/>
        <v>19076</v>
      </c>
      <c r="X59" s="1">
        <f t="shared" si="1"/>
        <v>0</v>
      </c>
      <c r="Z59" s="1">
        <f t="shared" si="0"/>
        <v>19076</v>
      </c>
      <c r="AA59" s="1">
        <f t="shared" si="0"/>
        <v>19076</v>
      </c>
      <c r="AB59" s="1">
        <f t="shared" si="0"/>
        <v>0</v>
      </c>
      <c r="AD59" s="227">
        <v>0</v>
      </c>
      <c r="AE59" s="227">
        <v>0</v>
      </c>
      <c r="AF59" s="227">
        <v>0</v>
      </c>
      <c r="AG59" s="226"/>
      <c r="AH59" s="514"/>
    </row>
    <row r="60" spans="1:34" x14ac:dyDescent="0.2">
      <c r="A60" s="8">
        <v>14100</v>
      </c>
      <c r="B60" s="8" t="s">
        <v>49</v>
      </c>
      <c r="C60" s="8" t="s">
        <v>24</v>
      </c>
      <c r="D60" s="29" t="s">
        <v>2</v>
      </c>
      <c r="E60" s="226">
        <v>1</v>
      </c>
      <c r="F60" s="1">
        <v>1415.42</v>
      </c>
      <c r="G60" s="1">
        <v>1415.42</v>
      </c>
      <c r="H60" s="1">
        <v>0</v>
      </c>
      <c r="I60" s="226"/>
      <c r="J60" s="1">
        <v>0</v>
      </c>
      <c r="K60" s="1">
        <v>0</v>
      </c>
      <c r="L60" s="1">
        <v>0</v>
      </c>
      <c r="M60" s="513"/>
      <c r="N60" s="1">
        <v>0</v>
      </c>
      <c r="O60" s="1">
        <v>0</v>
      </c>
      <c r="P60" s="1">
        <v>0</v>
      </c>
      <c r="Q60" s="226"/>
      <c r="R60" s="1">
        <v>0</v>
      </c>
      <c r="S60" s="1">
        <v>0</v>
      </c>
      <c r="T60" s="1">
        <v>0</v>
      </c>
      <c r="U60" s="226"/>
      <c r="V60" s="1">
        <f t="shared" si="1"/>
        <v>1415.42</v>
      </c>
      <c r="W60" s="1">
        <f t="shared" si="1"/>
        <v>1415.42</v>
      </c>
      <c r="X60" s="1">
        <f t="shared" si="1"/>
        <v>0</v>
      </c>
      <c r="Z60" s="1">
        <f t="shared" si="0"/>
        <v>1415.42</v>
      </c>
      <c r="AA60" s="1">
        <f t="shared" si="0"/>
        <v>1415.42</v>
      </c>
      <c r="AB60" s="1">
        <f t="shared" si="0"/>
        <v>0</v>
      </c>
      <c r="AD60" s="227">
        <v>0</v>
      </c>
      <c r="AE60" s="227">
        <v>0</v>
      </c>
      <c r="AF60" s="227">
        <v>0</v>
      </c>
      <c r="AG60" s="226"/>
      <c r="AH60" s="514"/>
    </row>
    <row r="61" spans="1:34" x14ac:dyDescent="0.2">
      <c r="A61" s="8">
        <v>14170</v>
      </c>
      <c r="B61" s="8" t="s">
        <v>50</v>
      </c>
      <c r="C61" s="8" t="s">
        <v>17</v>
      </c>
      <c r="D61" s="29" t="s">
        <v>2</v>
      </c>
      <c r="E61" s="226">
        <v>2</v>
      </c>
      <c r="F61" s="1">
        <v>6285</v>
      </c>
      <c r="G61" s="1">
        <v>6285</v>
      </c>
      <c r="H61" s="1">
        <v>0</v>
      </c>
      <c r="I61" s="226">
        <v>1</v>
      </c>
      <c r="J61" s="1">
        <v>614</v>
      </c>
      <c r="K61" s="1">
        <v>614</v>
      </c>
      <c r="L61" s="1">
        <v>0</v>
      </c>
      <c r="M61" s="513"/>
      <c r="N61" s="1">
        <v>0</v>
      </c>
      <c r="O61" s="1">
        <v>0</v>
      </c>
      <c r="P61" s="1">
        <v>0</v>
      </c>
      <c r="Q61" s="226"/>
      <c r="R61" s="1">
        <v>0</v>
      </c>
      <c r="S61" s="1">
        <v>0</v>
      </c>
      <c r="T61" s="1">
        <v>0</v>
      </c>
      <c r="U61" s="226"/>
      <c r="V61" s="1">
        <f t="shared" si="1"/>
        <v>6899</v>
      </c>
      <c r="W61" s="1">
        <f t="shared" si="1"/>
        <v>6899</v>
      </c>
      <c r="X61" s="1">
        <f t="shared" si="1"/>
        <v>0</v>
      </c>
      <c r="Z61" s="1">
        <f t="shared" si="0"/>
        <v>6899</v>
      </c>
      <c r="AA61" s="1">
        <f t="shared" si="0"/>
        <v>6899</v>
      </c>
      <c r="AB61" s="1">
        <f t="shared" si="0"/>
        <v>0</v>
      </c>
      <c r="AD61" s="227">
        <v>298</v>
      </c>
      <c r="AE61" s="227">
        <v>298</v>
      </c>
      <c r="AF61" s="227">
        <v>0</v>
      </c>
      <c r="AG61" s="226"/>
      <c r="AH61" s="514"/>
    </row>
    <row r="62" spans="1:34" x14ac:dyDescent="0.2">
      <c r="A62" s="8">
        <v>14220</v>
      </c>
      <c r="B62" s="8" t="s">
        <v>117</v>
      </c>
      <c r="C62" s="8" t="s">
        <v>16</v>
      </c>
      <c r="D62" s="29" t="s">
        <v>1</v>
      </c>
      <c r="E62" s="226"/>
      <c r="F62" s="1">
        <v>0</v>
      </c>
      <c r="G62" s="1">
        <v>0</v>
      </c>
      <c r="H62" s="1">
        <v>0</v>
      </c>
      <c r="I62" s="226"/>
      <c r="J62" s="1">
        <v>0</v>
      </c>
      <c r="K62" s="1">
        <v>0</v>
      </c>
      <c r="L62" s="1">
        <v>0</v>
      </c>
      <c r="M62" s="513"/>
      <c r="N62" s="1">
        <v>1196</v>
      </c>
      <c r="O62" s="1">
        <v>1196</v>
      </c>
      <c r="P62" s="1">
        <v>0</v>
      </c>
      <c r="Q62" s="226"/>
      <c r="R62" s="1">
        <v>0</v>
      </c>
      <c r="S62" s="1">
        <v>0</v>
      </c>
      <c r="T62" s="1">
        <v>0</v>
      </c>
      <c r="U62" s="226"/>
      <c r="V62" s="1">
        <f t="shared" si="1"/>
        <v>1196</v>
      </c>
      <c r="W62" s="1">
        <f t="shared" si="1"/>
        <v>1196</v>
      </c>
      <c r="X62" s="1">
        <f t="shared" si="1"/>
        <v>0</v>
      </c>
      <c r="Z62" s="1">
        <f t="shared" si="0"/>
        <v>0</v>
      </c>
      <c r="AA62" s="1">
        <f t="shared" si="0"/>
        <v>0</v>
      </c>
      <c r="AB62" s="1">
        <f t="shared" si="0"/>
        <v>0</v>
      </c>
      <c r="AD62" s="227">
        <v>366</v>
      </c>
      <c r="AE62" s="227">
        <v>366</v>
      </c>
      <c r="AF62" s="227">
        <v>0</v>
      </c>
      <c r="AG62" s="226"/>
      <c r="AH62" s="514"/>
    </row>
    <row r="63" spans="1:34" x14ac:dyDescent="0.2">
      <c r="A63" s="8">
        <v>14300</v>
      </c>
      <c r="B63" s="8" t="s">
        <v>118</v>
      </c>
      <c r="C63" s="8" t="s">
        <v>21</v>
      </c>
      <c r="D63" s="29" t="s">
        <v>1</v>
      </c>
      <c r="E63" s="226"/>
      <c r="F63" s="1">
        <v>0</v>
      </c>
      <c r="G63" s="1">
        <v>0</v>
      </c>
      <c r="H63" s="1">
        <v>0</v>
      </c>
      <c r="I63" s="226">
        <v>1</v>
      </c>
      <c r="J63" s="1">
        <v>666</v>
      </c>
      <c r="K63" s="1">
        <v>666</v>
      </c>
      <c r="L63" s="1">
        <v>0</v>
      </c>
      <c r="M63" s="513"/>
      <c r="N63" s="1">
        <v>109.93</v>
      </c>
      <c r="O63" s="1">
        <v>109.93</v>
      </c>
      <c r="P63" s="1">
        <v>0</v>
      </c>
      <c r="Q63" s="226"/>
      <c r="R63" s="1">
        <v>0</v>
      </c>
      <c r="S63" s="1">
        <v>0</v>
      </c>
      <c r="T63" s="1">
        <v>0</v>
      </c>
      <c r="U63" s="226"/>
      <c r="V63" s="1">
        <f t="shared" si="1"/>
        <v>775.93000000000006</v>
      </c>
      <c r="W63" s="1">
        <f t="shared" si="1"/>
        <v>775.93000000000006</v>
      </c>
      <c r="X63" s="1">
        <f t="shared" si="1"/>
        <v>0</v>
      </c>
      <c r="Z63" s="1">
        <f t="shared" si="0"/>
        <v>666</v>
      </c>
      <c r="AA63" s="1">
        <f t="shared" si="0"/>
        <v>666</v>
      </c>
      <c r="AB63" s="1">
        <f t="shared" si="0"/>
        <v>0</v>
      </c>
      <c r="AD63" s="227">
        <v>373.12</v>
      </c>
      <c r="AE63" s="227">
        <v>373.12</v>
      </c>
      <c r="AF63" s="227">
        <v>0</v>
      </c>
      <c r="AG63" s="226"/>
      <c r="AH63" s="514"/>
    </row>
    <row r="64" spans="1:34" x14ac:dyDescent="0.2">
      <c r="A64" s="8">
        <v>14350</v>
      </c>
      <c r="B64" s="8" t="s">
        <v>119</v>
      </c>
      <c r="C64" s="8" t="s">
        <v>39</v>
      </c>
      <c r="D64" s="29" t="s">
        <v>3</v>
      </c>
      <c r="E64" s="226"/>
      <c r="F64" s="1">
        <v>0</v>
      </c>
      <c r="G64" s="1">
        <v>0</v>
      </c>
      <c r="H64" s="1">
        <v>0</v>
      </c>
      <c r="I64" s="226">
        <v>1</v>
      </c>
      <c r="J64" s="1">
        <v>4044</v>
      </c>
      <c r="K64" s="1">
        <v>4044</v>
      </c>
      <c r="L64" s="1">
        <v>0</v>
      </c>
      <c r="M64" s="513"/>
      <c r="N64" s="1">
        <v>2550</v>
      </c>
      <c r="O64" s="1">
        <v>2550</v>
      </c>
      <c r="P64" s="1">
        <v>0</v>
      </c>
      <c r="Q64" s="226"/>
      <c r="R64" s="1">
        <v>0</v>
      </c>
      <c r="S64" s="1">
        <v>0</v>
      </c>
      <c r="T64" s="1">
        <v>0</v>
      </c>
      <c r="U64" s="226"/>
      <c r="V64" s="1">
        <f t="shared" si="1"/>
        <v>6594</v>
      </c>
      <c r="W64" s="1">
        <f t="shared" si="1"/>
        <v>6594</v>
      </c>
      <c r="X64" s="1">
        <f t="shared" si="1"/>
        <v>0</v>
      </c>
      <c r="Z64" s="1">
        <f t="shared" si="0"/>
        <v>4044</v>
      </c>
      <c r="AA64" s="1">
        <f t="shared" si="0"/>
        <v>4044</v>
      </c>
      <c r="AB64" s="1">
        <f t="shared" si="0"/>
        <v>0</v>
      </c>
      <c r="AD64" s="227">
        <v>247</v>
      </c>
      <c r="AE64" s="227">
        <v>247</v>
      </c>
      <c r="AF64" s="227">
        <v>0</v>
      </c>
      <c r="AG64" s="226"/>
      <c r="AH64" s="514"/>
    </row>
    <row r="65" spans="1:34" x14ac:dyDescent="0.2">
      <c r="A65" s="8">
        <v>14400</v>
      </c>
      <c r="B65" s="8" t="s">
        <v>120</v>
      </c>
      <c r="C65" s="8" t="s">
        <v>37</v>
      </c>
      <c r="D65" s="29" t="s">
        <v>2</v>
      </c>
      <c r="E65" s="226"/>
      <c r="F65" s="1">
        <v>0</v>
      </c>
      <c r="G65" s="1">
        <v>0</v>
      </c>
      <c r="H65" s="1">
        <v>0</v>
      </c>
      <c r="I65" s="226">
        <v>1</v>
      </c>
      <c r="J65" s="1">
        <v>4829.8900000000003</v>
      </c>
      <c r="K65" s="1">
        <v>4829.8900000000003</v>
      </c>
      <c r="L65" s="1">
        <v>0</v>
      </c>
      <c r="M65" s="513"/>
      <c r="N65" s="1">
        <v>797.14</v>
      </c>
      <c r="O65" s="1">
        <v>797.14</v>
      </c>
      <c r="P65" s="1">
        <v>0</v>
      </c>
      <c r="Q65" s="226"/>
      <c r="R65" s="1">
        <v>0</v>
      </c>
      <c r="S65" s="1">
        <v>0</v>
      </c>
      <c r="T65" s="1">
        <v>0</v>
      </c>
      <c r="U65" s="226"/>
      <c r="V65" s="1">
        <f t="shared" si="1"/>
        <v>5627.0300000000007</v>
      </c>
      <c r="W65" s="1">
        <f t="shared" si="1"/>
        <v>5627.0300000000007</v>
      </c>
      <c r="X65" s="1">
        <f t="shared" si="1"/>
        <v>0</v>
      </c>
      <c r="Z65" s="1">
        <f t="shared" si="0"/>
        <v>4829.8900000000003</v>
      </c>
      <c r="AA65" s="1">
        <f t="shared" si="0"/>
        <v>4829.8900000000003</v>
      </c>
      <c r="AB65" s="1">
        <f t="shared" si="0"/>
        <v>0</v>
      </c>
      <c r="AD65" s="227">
        <v>404</v>
      </c>
      <c r="AE65" s="227">
        <v>404</v>
      </c>
      <c r="AF65" s="227">
        <v>0</v>
      </c>
      <c r="AG65" s="226"/>
      <c r="AH65" s="514"/>
    </row>
    <row r="66" spans="1:34" x14ac:dyDescent="0.2">
      <c r="A66" s="8">
        <v>14500</v>
      </c>
      <c r="B66" s="8" t="s">
        <v>51</v>
      </c>
      <c r="C66" s="8" t="s">
        <v>24</v>
      </c>
      <c r="D66" s="29" t="s">
        <v>2</v>
      </c>
      <c r="E66" s="226">
        <v>1</v>
      </c>
      <c r="F66" s="1">
        <v>23742.32</v>
      </c>
      <c r="G66" s="1">
        <v>23742.32</v>
      </c>
      <c r="H66" s="1">
        <v>0</v>
      </c>
      <c r="I66" s="226"/>
      <c r="J66" s="1">
        <v>0</v>
      </c>
      <c r="K66" s="1">
        <v>0</v>
      </c>
      <c r="L66" s="1">
        <v>0</v>
      </c>
      <c r="M66" s="513"/>
      <c r="N66" s="1">
        <v>0</v>
      </c>
      <c r="O66" s="1">
        <v>0</v>
      </c>
      <c r="P66" s="1">
        <v>0</v>
      </c>
      <c r="Q66" s="226"/>
      <c r="R66" s="1">
        <v>195.16</v>
      </c>
      <c r="S66" s="1">
        <v>195.16</v>
      </c>
      <c r="T66" s="1">
        <v>0</v>
      </c>
      <c r="U66" s="226"/>
      <c r="V66" s="1">
        <f t="shared" si="1"/>
        <v>23937.48</v>
      </c>
      <c r="W66" s="1">
        <f t="shared" si="1"/>
        <v>23937.48</v>
      </c>
      <c r="X66" s="1">
        <f t="shared" si="1"/>
        <v>0</v>
      </c>
      <c r="Z66" s="1">
        <f t="shared" si="0"/>
        <v>23742.32</v>
      </c>
      <c r="AA66" s="1">
        <f t="shared" si="0"/>
        <v>23742.32</v>
      </c>
      <c r="AB66" s="1">
        <f t="shared" si="0"/>
        <v>0</v>
      </c>
      <c r="AD66" s="227">
        <v>2594.08</v>
      </c>
      <c r="AE66" s="227">
        <v>2594.08</v>
      </c>
      <c r="AF66" s="227">
        <v>0</v>
      </c>
      <c r="AG66" s="226"/>
      <c r="AH66" s="514"/>
    </row>
    <row r="67" spans="1:34" x14ac:dyDescent="0.2">
      <c r="A67" s="8">
        <v>14550</v>
      </c>
      <c r="B67" s="8" t="s">
        <v>121</v>
      </c>
      <c r="C67" s="8" t="s">
        <v>19</v>
      </c>
      <c r="D67" s="29" t="s">
        <v>3</v>
      </c>
      <c r="E67" s="226"/>
      <c r="F67" s="1">
        <v>0</v>
      </c>
      <c r="G67" s="1">
        <v>0</v>
      </c>
      <c r="H67" s="1">
        <v>0</v>
      </c>
      <c r="I67" s="226"/>
      <c r="J67" s="1">
        <v>0</v>
      </c>
      <c r="K67" s="1">
        <v>0</v>
      </c>
      <c r="L67" s="1">
        <v>0</v>
      </c>
      <c r="M67" s="513"/>
      <c r="N67" s="1">
        <v>339.31</v>
      </c>
      <c r="O67" s="1">
        <v>339.31</v>
      </c>
      <c r="P67" s="1">
        <v>0</v>
      </c>
      <c r="Q67" s="226"/>
      <c r="R67" s="1">
        <v>0</v>
      </c>
      <c r="S67" s="1">
        <v>0</v>
      </c>
      <c r="T67" s="1">
        <v>0</v>
      </c>
      <c r="U67" s="226"/>
      <c r="V67" s="1">
        <f t="shared" si="1"/>
        <v>339.31</v>
      </c>
      <c r="W67" s="1">
        <f t="shared" si="1"/>
        <v>339.31</v>
      </c>
      <c r="X67" s="1">
        <f t="shared" si="1"/>
        <v>0</v>
      </c>
      <c r="Z67" s="1">
        <f t="shared" si="0"/>
        <v>0</v>
      </c>
      <c r="AA67" s="1">
        <f t="shared" si="0"/>
        <v>0</v>
      </c>
      <c r="AB67" s="1">
        <f t="shared" si="0"/>
        <v>0</v>
      </c>
      <c r="AD67" s="227">
        <v>0</v>
      </c>
      <c r="AE67" s="227">
        <v>0</v>
      </c>
      <c r="AF67" s="227">
        <v>0</v>
      </c>
      <c r="AG67" s="226"/>
      <c r="AH67" s="514"/>
    </row>
    <row r="68" spans="1:34" x14ac:dyDescent="0.2">
      <c r="A68" s="8">
        <v>14600</v>
      </c>
      <c r="B68" s="8" t="s">
        <v>122</v>
      </c>
      <c r="C68" s="8" t="s">
        <v>38</v>
      </c>
      <c r="D68" s="29" t="s">
        <v>1</v>
      </c>
      <c r="E68" s="226">
        <v>1</v>
      </c>
      <c r="F68" s="1">
        <v>150</v>
      </c>
      <c r="G68" s="1">
        <v>150</v>
      </c>
      <c r="H68" s="1">
        <v>0</v>
      </c>
      <c r="I68" s="226"/>
      <c r="J68" s="1">
        <v>0</v>
      </c>
      <c r="K68" s="1">
        <v>0</v>
      </c>
      <c r="L68" s="1">
        <v>0</v>
      </c>
      <c r="M68" s="513"/>
      <c r="N68" s="1">
        <v>0</v>
      </c>
      <c r="O68" s="1">
        <v>0</v>
      </c>
      <c r="P68" s="1">
        <v>0</v>
      </c>
      <c r="Q68" s="226"/>
      <c r="R68" s="1">
        <v>0</v>
      </c>
      <c r="S68" s="1">
        <v>0</v>
      </c>
      <c r="T68" s="1">
        <v>0</v>
      </c>
      <c r="U68" s="226"/>
      <c r="V68" s="1">
        <f t="shared" si="1"/>
        <v>150</v>
      </c>
      <c r="W68" s="1">
        <f t="shared" si="1"/>
        <v>150</v>
      </c>
      <c r="X68" s="1">
        <f t="shared" si="1"/>
        <v>0</v>
      </c>
      <c r="Z68" s="1">
        <f t="shared" si="0"/>
        <v>150</v>
      </c>
      <c r="AA68" s="1">
        <f t="shared" si="0"/>
        <v>150</v>
      </c>
      <c r="AB68" s="1">
        <f t="shared" si="0"/>
        <v>0</v>
      </c>
      <c r="AD68" s="227">
        <v>0</v>
      </c>
      <c r="AE68" s="227">
        <v>0</v>
      </c>
      <c r="AF68" s="227">
        <v>0</v>
      </c>
      <c r="AG68" s="226"/>
      <c r="AH68" s="514"/>
    </row>
    <row r="69" spans="1:34" x14ac:dyDescent="0.2">
      <c r="A69" s="8">
        <v>14650</v>
      </c>
      <c r="B69" s="8" t="s">
        <v>123</v>
      </c>
      <c r="C69" s="8" t="s">
        <v>23</v>
      </c>
      <c r="D69" s="29" t="s">
        <v>2</v>
      </c>
      <c r="E69" s="226"/>
      <c r="F69" s="1">
        <v>0</v>
      </c>
      <c r="G69" s="1">
        <v>0</v>
      </c>
      <c r="H69" s="1">
        <v>0</v>
      </c>
      <c r="I69" s="226">
        <v>1</v>
      </c>
      <c r="J69" s="1">
        <v>38346</v>
      </c>
      <c r="K69" s="1">
        <v>38237</v>
      </c>
      <c r="L69" s="1">
        <v>109</v>
      </c>
      <c r="M69" s="513"/>
      <c r="N69" s="1">
        <v>879.67</v>
      </c>
      <c r="O69" s="1">
        <v>879.67</v>
      </c>
      <c r="P69" s="1">
        <v>0</v>
      </c>
      <c r="Q69" s="226"/>
      <c r="R69" s="1">
        <v>309.08</v>
      </c>
      <c r="S69" s="1">
        <v>309.08</v>
      </c>
      <c r="T69" s="1">
        <v>0</v>
      </c>
      <c r="U69" s="226"/>
      <c r="V69" s="1">
        <f t="shared" si="1"/>
        <v>39534.75</v>
      </c>
      <c r="W69" s="1">
        <f t="shared" si="1"/>
        <v>39425.75</v>
      </c>
      <c r="X69" s="1">
        <f t="shared" si="1"/>
        <v>109</v>
      </c>
      <c r="Z69" s="1">
        <f t="shared" ref="Z69:AB131" si="2">F69+J69</f>
        <v>38346</v>
      </c>
      <c r="AA69" s="1">
        <f t="shared" si="2"/>
        <v>38237</v>
      </c>
      <c r="AB69" s="1">
        <f t="shared" si="2"/>
        <v>109</v>
      </c>
      <c r="AD69" s="227">
        <v>543</v>
      </c>
      <c r="AE69" s="227">
        <v>543</v>
      </c>
      <c r="AF69" s="227">
        <v>0</v>
      </c>
      <c r="AG69" s="226"/>
      <c r="AH69" s="514"/>
    </row>
    <row r="70" spans="1:34" x14ac:dyDescent="0.2">
      <c r="A70" s="8">
        <v>14700</v>
      </c>
      <c r="B70" s="8" t="s">
        <v>52</v>
      </c>
      <c r="C70" s="8" t="s">
        <v>24</v>
      </c>
      <c r="D70" s="29" t="s">
        <v>2</v>
      </c>
      <c r="E70" s="226">
        <v>1</v>
      </c>
      <c r="F70" s="1">
        <v>3463.7</v>
      </c>
      <c r="G70" s="1">
        <v>3463.7</v>
      </c>
      <c r="H70" s="1">
        <v>0</v>
      </c>
      <c r="I70" s="226"/>
      <c r="J70" s="1">
        <v>0</v>
      </c>
      <c r="K70" s="1">
        <v>0</v>
      </c>
      <c r="L70" s="1">
        <v>0</v>
      </c>
      <c r="M70" s="513"/>
      <c r="N70" s="1">
        <v>0</v>
      </c>
      <c r="O70" s="1">
        <v>0</v>
      </c>
      <c r="P70" s="1">
        <v>0</v>
      </c>
      <c r="Q70" s="226"/>
      <c r="R70" s="1">
        <v>0</v>
      </c>
      <c r="S70" s="1">
        <v>0</v>
      </c>
      <c r="T70" s="1">
        <v>0</v>
      </c>
      <c r="U70" s="226"/>
      <c r="V70" s="1">
        <f t="shared" ref="V70:X132" si="3">F70+J70+N70+R70</f>
        <v>3463.7</v>
      </c>
      <c r="W70" s="1">
        <f t="shared" si="3"/>
        <v>3463.7</v>
      </c>
      <c r="X70" s="1">
        <f t="shared" si="3"/>
        <v>0</v>
      </c>
      <c r="Z70" s="1">
        <f t="shared" si="2"/>
        <v>3463.7</v>
      </c>
      <c r="AA70" s="1">
        <f t="shared" si="2"/>
        <v>3463.7</v>
      </c>
      <c r="AB70" s="1">
        <f t="shared" si="2"/>
        <v>0</v>
      </c>
      <c r="AD70" s="227">
        <v>0</v>
      </c>
      <c r="AE70" s="227">
        <v>0</v>
      </c>
      <c r="AF70" s="227">
        <v>0</v>
      </c>
      <c r="AG70" s="226"/>
      <c r="AH70" s="514"/>
    </row>
    <row r="71" spans="1:34" x14ac:dyDescent="0.2">
      <c r="A71" s="8">
        <v>14750</v>
      </c>
      <c r="B71" s="8" t="s">
        <v>124</v>
      </c>
      <c r="C71" s="8" t="s">
        <v>68</v>
      </c>
      <c r="D71" s="29" t="s">
        <v>1</v>
      </c>
      <c r="E71" s="226"/>
      <c r="F71" s="1">
        <v>0</v>
      </c>
      <c r="G71" s="1">
        <v>0</v>
      </c>
      <c r="H71" s="1">
        <v>0</v>
      </c>
      <c r="I71" s="226"/>
      <c r="J71" s="1">
        <v>0</v>
      </c>
      <c r="K71" s="1">
        <v>0</v>
      </c>
      <c r="L71" s="1">
        <v>0</v>
      </c>
      <c r="M71" s="513"/>
      <c r="N71" s="1">
        <v>1150.03</v>
      </c>
      <c r="O71" s="1">
        <v>1150.03</v>
      </c>
      <c r="P71" s="1">
        <v>0</v>
      </c>
      <c r="Q71" s="226"/>
      <c r="R71" s="1">
        <v>0</v>
      </c>
      <c r="S71" s="1">
        <v>0</v>
      </c>
      <c r="T71" s="1">
        <v>0</v>
      </c>
      <c r="U71" s="226"/>
      <c r="V71" s="1">
        <f t="shared" si="3"/>
        <v>1150.03</v>
      </c>
      <c r="W71" s="1">
        <f t="shared" si="3"/>
        <v>1150.03</v>
      </c>
      <c r="X71" s="1">
        <f t="shared" si="3"/>
        <v>0</v>
      </c>
      <c r="Z71" s="1">
        <f t="shared" si="2"/>
        <v>0</v>
      </c>
      <c r="AA71" s="1">
        <f t="shared" si="2"/>
        <v>0</v>
      </c>
      <c r="AB71" s="1">
        <f t="shared" si="2"/>
        <v>0</v>
      </c>
      <c r="AD71" s="227">
        <v>330.6</v>
      </c>
      <c r="AE71" s="227">
        <v>330.6</v>
      </c>
      <c r="AF71" s="227">
        <v>0</v>
      </c>
      <c r="AG71" s="226"/>
      <c r="AH71" s="514"/>
    </row>
    <row r="72" spans="1:34" x14ac:dyDescent="0.2">
      <c r="A72" s="8">
        <v>14850</v>
      </c>
      <c r="B72" s="8" t="s">
        <v>125</v>
      </c>
      <c r="C72" s="8" t="s">
        <v>19</v>
      </c>
      <c r="D72" s="29" t="s">
        <v>3</v>
      </c>
      <c r="E72" s="226">
        <v>1</v>
      </c>
      <c r="F72" s="1">
        <v>5303</v>
      </c>
      <c r="G72" s="1">
        <v>5303</v>
      </c>
      <c r="H72" s="1">
        <v>0</v>
      </c>
      <c r="I72" s="226"/>
      <c r="J72" s="1">
        <v>0</v>
      </c>
      <c r="K72" s="1">
        <v>0</v>
      </c>
      <c r="L72" s="1">
        <v>0</v>
      </c>
      <c r="M72" s="513"/>
      <c r="N72" s="1">
        <v>1694</v>
      </c>
      <c r="O72" s="1">
        <v>1694</v>
      </c>
      <c r="P72" s="1">
        <v>0</v>
      </c>
      <c r="Q72" s="226"/>
      <c r="R72" s="1">
        <v>0</v>
      </c>
      <c r="S72" s="1">
        <v>0</v>
      </c>
      <c r="T72" s="1">
        <v>0</v>
      </c>
      <c r="U72" s="226"/>
      <c r="V72" s="1">
        <f t="shared" si="3"/>
        <v>6997</v>
      </c>
      <c r="W72" s="1">
        <f t="shared" si="3"/>
        <v>6997</v>
      </c>
      <c r="X72" s="1">
        <f t="shared" si="3"/>
        <v>0</v>
      </c>
      <c r="Z72" s="1">
        <f t="shared" si="2"/>
        <v>5303</v>
      </c>
      <c r="AA72" s="1">
        <f t="shared" si="2"/>
        <v>5303</v>
      </c>
      <c r="AB72" s="1">
        <f t="shared" si="2"/>
        <v>0</v>
      </c>
      <c r="AD72" s="227">
        <v>176</v>
      </c>
      <c r="AE72" s="227">
        <v>176</v>
      </c>
      <c r="AF72" s="227">
        <v>0</v>
      </c>
      <c r="AG72" s="226"/>
      <c r="AH72" s="514"/>
    </row>
    <row r="73" spans="1:34" x14ac:dyDescent="0.2">
      <c r="A73" s="8">
        <v>14870</v>
      </c>
      <c r="B73" s="8" t="s">
        <v>126</v>
      </c>
      <c r="C73" s="8" t="s">
        <v>38</v>
      </c>
      <c r="D73" s="29" t="s">
        <v>1</v>
      </c>
      <c r="E73" s="226"/>
      <c r="F73" s="1">
        <v>0</v>
      </c>
      <c r="G73" s="1">
        <v>0</v>
      </c>
      <c r="H73" s="1">
        <v>0</v>
      </c>
      <c r="I73" s="226"/>
      <c r="J73" s="1">
        <v>0</v>
      </c>
      <c r="K73" s="1">
        <v>0</v>
      </c>
      <c r="L73" s="1">
        <v>0</v>
      </c>
      <c r="M73" s="513"/>
      <c r="N73" s="1">
        <v>829</v>
      </c>
      <c r="O73" s="1">
        <v>829</v>
      </c>
      <c r="P73" s="1">
        <v>0</v>
      </c>
      <c r="Q73" s="226"/>
      <c r="R73" s="1">
        <v>4.5</v>
      </c>
      <c r="S73" s="1">
        <v>4.5</v>
      </c>
      <c r="T73" s="1">
        <v>0</v>
      </c>
      <c r="U73" s="226"/>
      <c r="V73" s="1">
        <f t="shared" si="3"/>
        <v>833.5</v>
      </c>
      <c r="W73" s="1">
        <f t="shared" si="3"/>
        <v>833.5</v>
      </c>
      <c r="X73" s="1">
        <f t="shared" si="3"/>
        <v>0</v>
      </c>
      <c r="Z73" s="1">
        <f t="shared" si="2"/>
        <v>0</v>
      </c>
      <c r="AA73" s="1">
        <f t="shared" si="2"/>
        <v>0</v>
      </c>
      <c r="AB73" s="1">
        <f t="shared" si="2"/>
        <v>0</v>
      </c>
      <c r="AD73" s="227">
        <v>446.79</v>
      </c>
      <c r="AE73" s="227">
        <v>446.79</v>
      </c>
      <c r="AF73" s="227">
        <v>0</v>
      </c>
      <c r="AG73" s="226"/>
      <c r="AH73" s="514"/>
    </row>
    <row r="74" spans="1:34" x14ac:dyDescent="0.2">
      <c r="A74" s="8">
        <v>14900</v>
      </c>
      <c r="B74" s="8" t="s">
        <v>53</v>
      </c>
      <c r="C74" s="8" t="s">
        <v>18</v>
      </c>
      <c r="D74" s="29" t="s">
        <v>2</v>
      </c>
      <c r="E74" s="226">
        <v>1</v>
      </c>
      <c r="F74" s="1">
        <v>17939.84</v>
      </c>
      <c r="G74" s="1">
        <v>17402.48</v>
      </c>
      <c r="H74" s="1">
        <v>537.36</v>
      </c>
      <c r="I74" s="226"/>
      <c r="J74" s="1">
        <v>0</v>
      </c>
      <c r="K74" s="1">
        <v>0</v>
      </c>
      <c r="L74" s="1">
        <v>0</v>
      </c>
      <c r="M74" s="513"/>
      <c r="N74" s="1">
        <v>0</v>
      </c>
      <c r="O74" s="1">
        <v>0</v>
      </c>
      <c r="P74" s="1">
        <v>0</v>
      </c>
      <c r="Q74" s="226"/>
      <c r="R74" s="1">
        <v>0</v>
      </c>
      <c r="S74" s="1">
        <v>0</v>
      </c>
      <c r="T74" s="1">
        <v>0</v>
      </c>
      <c r="U74" s="226"/>
      <c r="V74" s="1">
        <f t="shared" si="3"/>
        <v>17939.84</v>
      </c>
      <c r="W74" s="1">
        <f t="shared" si="3"/>
        <v>17402.48</v>
      </c>
      <c r="X74" s="1">
        <f t="shared" si="3"/>
        <v>537.36</v>
      </c>
      <c r="Z74" s="1">
        <f t="shared" si="2"/>
        <v>17939.84</v>
      </c>
      <c r="AA74" s="1">
        <f t="shared" si="2"/>
        <v>17402.48</v>
      </c>
      <c r="AB74" s="1">
        <f t="shared" si="2"/>
        <v>537.36</v>
      </c>
      <c r="AD74" s="227">
        <v>0</v>
      </c>
      <c r="AE74" s="227">
        <v>0</v>
      </c>
      <c r="AF74" s="227">
        <v>0</v>
      </c>
      <c r="AG74" s="226"/>
      <c r="AH74" s="514"/>
    </row>
    <row r="75" spans="1:34" x14ac:dyDescent="0.2">
      <c r="A75" s="8">
        <v>14920</v>
      </c>
      <c r="B75" s="8" t="s">
        <v>127</v>
      </c>
      <c r="C75" s="8" t="s">
        <v>16</v>
      </c>
      <c r="D75" s="29" t="s">
        <v>1</v>
      </c>
      <c r="E75" s="226"/>
      <c r="F75" s="1">
        <v>0</v>
      </c>
      <c r="G75" s="1">
        <v>0</v>
      </c>
      <c r="H75" s="1">
        <v>0</v>
      </c>
      <c r="I75" s="226"/>
      <c r="J75" s="1">
        <v>0</v>
      </c>
      <c r="K75" s="1">
        <v>0</v>
      </c>
      <c r="L75" s="1">
        <v>0</v>
      </c>
      <c r="M75" s="513"/>
      <c r="N75" s="1">
        <v>0</v>
      </c>
      <c r="O75" s="1">
        <v>0</v>
      </c>
      <c r="P75" s="1">
        <v>0</v>
      </c>
      <c r="Q75" s="226"/>
      <c r="R75" s="1">
        <v>11</v>
      </c>
      <c r="S75" s="1">
        <v>0</v>
      </c>
      <c r="T75" s="1">
        <v>11</v>
      </c>
      <c r="U75" s="226"/>
      <c r="V75" s="1">
        <f t="shared" si="3"/>
        <v>11</v>
      </c>
      <c r="W75" s="1">
        <f t="shared" si="3"/>
        <v>0</v>
      </c>
      <c r="X75" s="1">
        <f t="shared" si="3"/>
        <v>11</v>
      </c>
      <c r="Z75" s="1">
        <f t="shared" si="2"/>
        <v>0</v>
      </c>
      <c r="AA75" s="1">
        <f t="shared" si="2"/>
        <v>0</v>
      </c>
      <c r="AB75" s="1">
        <f t="shared" si="2"/>
        <v>0</v>
      </c>
      <c r="AD75" s="227">
        <v>0</v>
      </c>
      <c r="AE75" s="227">
        <v>0</v>
      </c>
      <c r="AF75" s="227">
        <v>0</v>
      </c>
      <c r="AG75" s="226"/>
      <c r="AH75" s="514"/>
    </row>
    <row r="76" spans="1:34" x14ac:dyDescent="0.2">
      <c r="A76" s="8">
        <v>14950</v>
      </c>
      <c r="B76" s="8" t="s">
        <v>128</v>
      </c>
      <c r="C76" s="8" t="s">
        <v>21</v>
      </c>
      <c r="D76" s="29" t="s">
        <v>1</v>
      </c>
      <c r="E76" s="226"/>
      <c r="F76" s="1">
        <v>0</v>
      </c>
      <c r="G76" s="1">
        <v>0</v>
      </c>
      <c r="H76" s="1">
        <v>0</v>
      </c>
      <c r="I76" s="226">
        <v>1</v>
      </c>
      <c r="J76" s="1">
        <v>356</v>
      </c>
      <c r="K76" s="1">
        <v>356</v>
      </c>
      <c r="L76" s="1">
        <v>0</v>
      </c>
      <c r="M76" s="513"/>
      <c r="N76" s="1">
        <v>50</v>
      </c>
      <c r="O76" s="1">
        <v>50</v>
      </c>
      <c r="P76" s="1">
        <v>0</v>
      </c>
      <c r="Q76" s="226"/>
      <c r="R76" s="1">
        <v>0</v>
      </c>
      <c r="S76" s="1">
        <v>0</v>
      </c>
      <c r="T76" s="1">
        <v>0</v>
      </c>
      <c r="U76" s="226"/>
      <c r="V76" s="1">
        <f t="shared" si="3"/>
        <v>406</v>
      </c>
      <c r="W76" s="1">
        <f t="shared" si="3"/>
        <v>406</v>
      </c>
      <c r="X76" s="1">
        <f t="shared" si="3"/>
        <v>0</v>
      </c>
      <c r="Z76" s="1">
        <f t="shared" si="2"/>
        <v>356</v>
      </c>
      <c r="AA76" s="1">
        <f t="shared" si="2"/>
        <v>356</v>
      </c>
      <c r="AB76" s="1">
        <f t="shared" si="2"/>
        <v>0</v>
      </c>
      <c r="AD76" s="227">
        <v>0</v>
      </c>
      <c r="AE76" s="227">
        <v>0</v>
      </c>
      <c r="AF76" s="227">
        <v>0</v>
      </c>
      <c r="AG76" s="226"/>
      <c r="AH76" s="514"/>
    </row>
    <row r="77" spans="1:34" x14ac:dyDescent="0.2">
      <c r="A77" s="8">
        <v>15050</v>
      </c>
      <c r="B77" s="8" t="s">
        <v>129</v>
      </c>
      <c r="C77" s="8" t="s">
        <v>23</v>
      </c>
      <c r="D77" s="29" t="s">
        <v>2</v>
      </c>
      <c r="E77" s="226">
        <v>1</v>
      </c>
      <c r="F77" s="1">
        <v>10330.31</v>
      </c>
      <c r="G77" s="1">
        <v>10316.879999999999</v>
      </c>
      <c r="H77" s="1">
        <v>13.43</v>
      </c>
      <c r="I77" s="226"/>
      <c r="J77" s="1">
        <v>0</v>
      </c>
      <c r="K77" s="1">
        <v>0</v>
      </c>
      <c r="L77" s="1">
        <v>0</v>
      </c>
      <c r="M77" s="513"/>
      <c r="N77" s="1">
        <v>1288.94</v>
      </c>
      <c r="O77" s="1">
        <v>1288.94</v>
      </c>
      <c r="P77" s="1">
        <v>0</v>
      </c>
      <c r="Q77" s="226"/>
      <c r="R77" s="1">
        <v>2.2799999999999998</v>
      </c>
      <c r="S77" s="1">
        <v>2.2799999999999998</v>
      </c>
      <c r="T77" s="1">
        <v>0</v>
      </c>
      <c r="U77" s="226"/>
      <c r="V77" s="1">
        <f t="shared" si="3"/>
        <v>11621.53</v>
      </c>
      <c r="W77" s="1">
        <f t="shared" si="3"/>
        <v>11608.1</v>
      </c>
      <c r="X77" s="1">
        <f t="shared" si="3"/>
        <v>13.43</v>
      </c>
      <c r="Z77" s="1">
        <f t="shared" si="2"/>
        <v>10330.31</v>
      </c>
      <c r="AA77" s="1">
        <f t="shared" si="2"/>
        <v>10316.879999999999</v>
      </c>
      <c r="AB77" s="1">
        <f t="shared" si="2"/>
        <v>13.43</v>
      </c>
      <c r="AD77" s="227">
        <v>181.04</v>
      </c>
      <c r="AE77" s="227">
        <v>181.04</v>
      </c>
      <c r="AF77" s="227">
        <v>0</v>
      </c>
      <c r="AG77" s="226"/>
      <c r="AH77" s="514"/>
    </row>
    <row r="78" spans="1:34" x14ac:dyDescent="0.2">
      <c r="A78" s="8">
        <v>15240</v>
      </c>
      <c r="B78" s="8" t="s">
        <v>130</v>
      </c>
      <c r="C78" s="8" t="s">
        <v>39</v>
      </c>
      <c r="D78" s="29" t="s">
        <v>3</v>
      </c>
      <c r="E78" s="226">
        <v>1</v>
      </c>
      <c r="F78" s="1">
        <v>10310.32</v>
      </c>
      <c r="G78" s="1">
        <v>10310.32</v>
      </c>
      <c r="H78" s="1">
        <v>0</v>
      </c>
      <c r="I78" s="226"/>
      <c r="J78" s="1">
        <v>0</v>
      </c>
      <c r="K78" s="1">
        <v>0</v>
      </c>
      <c r="L78" s="1">
        <v>0</v>
      </c>
      <c r="M78" s="513"/>
      <c r="N78" s="1">
        <v>0</v>
      </c>
      <c r="O78" s="1">
        <v>0</v>
      </c>
      <c r="P78" s="1">
        <v>0</v>
      </c>
      <c r="Q78" s="226"/>
      <c r="R78" s="1">
        <v>0</v>
      </c>
      <c r="S78" s="1">
        <v>0</v>
      </c>
      <c r="T78" s="1">
        <v>0</v>
      </c>
      <c r="U78" s="226"/>
      <c r="V78" s="1">
        <f t="shared" si="3"/>
        <v>10310.32</v>
      </c>
      <c r="W78" s="1">
        <f t="shared" si="3"/>
        <v>10310.32</v>
      </c>
      <c r="X78" s="1">
        <f t="shared" si="3"/>
        <v>0</v>
      </c>
      <c r="Z78" s="1">
        <f t="shared" si="2"/>
        <v>10310.32</v>
      </c>
      <c r="AA78" s="1">
        <f t="shared" si="2"/>
        <v>10310.32</v>
      </c>
      <c r="AB78" s="1">
        <f t="shared" si="2"/>
        <v>0</v>
      </c>
      <c r="AD78" s="227">
        <v>0</v>
      </c>
      <c r="AE78" s="227">
        <v>0</v>
      </c>
      <c r="AF78" s="227">
        <v>0</v>
      </c>
      <c r="AG78" s="226"/>
      <c r="AH78" s="514"/>
    </row>
    <row r="79" spans="1:34" x14ac:dyDescent="0.2">
      <c r="A79" s="8">
        <v>15270</v>
      </c>
      <c r="B79" s="8" t="s">
        <v>131</v>
      </c>
      <c r="C79" s="8" t="s">
        <v>38</v>
      </c>
      <c r="D79" s="29" t="s">
        <v>1</v>
      </c>
      <c r="E79" s="226"/>
      <c r="F79" s="1">
        <v>0</v>
      </c>
      <c r="G79" s="1">
        <v>0</v>
      </c>
      <c r="H79" s="1">
        <v>0</v>
      </c>
      <c r="I79" s="226">
        <v>1</v>
      </c>
      <c r="J79" s="1">
        <v>2288.2600000000002</v>
      </c>
      <c r="K79" s="1">
        <v>2288.2600000000002</v>
      </c>
      <c r="L79" s="1">
        <v>0</v>
      </c>
      <c r="M79" s="513"/>
      <c r="N79" s="1">
        <v>833.97</v>
      </c>
      <c r="O79" s="1">
        <v>833.97</v>
      </c>
      <c r="P79" s="1">
        <v>0</v>
      </c>
      <c r="Q79" s="226"/>
      <c r="R79" s="1">
        <v>0</v>
      </c>
      <c r="S79" s="1">
        <v>0</v>
      </c>
      <c r="T79" s="1">
        <v>0</v>
      </c>
      <c r="U79" s="226"/>
      <c r="V79" s="1">
        <f t="shared" si="3"/>
        <v>3122.2300000000005</v>
      </c>
      <c r="W79" s="1">
        <f t="shared" si="3"/>
        <v>3122.2300000000005</v>
      </c>
      <c r="X79" s="1">
        <f t="shared" si="3"/>
        <v>0</v>
      </c>
      <c r="Z79" s="1">
        <f t="shared" si="2"/>
        <v>2288.2600000000002</v>
      </c>
      <c r="AA79" s="1">
        <f t="shared" si="2"/>
        <v>2288.2600000000002</v>
      </c>
      <c r="AB79" s="1">
        <f t="shared" si="2"/>
        <v>0</v>
      </c>
      <c r="AD79" s="227">
        <v>0</v>
      </c>
      <c r="AE79" s="227">
        <v>0</v>
      </c>
      <c r="AF79" s="227">
        <v>0</v>
      </c>
      <c r="AG79" s="226"/>
      <c r="AH79" s="514"/>
    </row>
    <row r="80" spans="1:34" x14ac:dyDescent="0.2">
      <c r="A80" s="8">
        <v>15300</v>
      </c>
      <c r="B80" s="8" t="s">
        <v>132</v>
      </c>
      <c r="C80" s="8" t="s">
        <v>16</v>
      </c>
      <c r="D80" s="29" t="s">
        <v>1</v>
      </c>
      <c r="E80" s="226"/>
      <c r="F80" s="1">
        <v>0</v>
      </c>
      <c r="G80" s="1">
        <v>0</v>
      </c>
      <c r="H80" s="1">
        <v>0</v>
      </c>
      <c r="I80" s="226">
        <v>1</v>
      </c>
      <c r="J80" s="1">
        <v>842.98</v>
      </c>
      <c r="K80" s="1">
        <v>729.86</v>
      </c>
      <c r="L80" s="1">
        <v>113.12</v>
      </c>
      <c r="M80" s="513"/>
      <c r="N80" s="1">
        <v>0</v>
      </c>
      <c r="O80" s="1">
        <v>0</v>
      </c>
      <c r="P80" s="1">
        <v>0</v>
      </c>
      <c r="Q80" s="226"/>
      <c r="R80" s="1">
        <v>7.7</v>
      </c>
      <c r="S80" s="1">
        <v>7.7</v>
      </c>
      <c r="T80" s="1">
        <v>0</v>
      </c>
      <c r="U80" s="226"/>
      <c r="V80" s="1">
        <f t="shared" si="3"/>
        <v>850.68000000000006</v>
      </c>
      <c r="W80" s="1">
        <f t="shared" si="3"/>
        <v>737.56000000000006</v>
      </c>
      <c r="X80" s="1">
        <f t="shared" si="3"/>
        <v>113.12</v>
      </c>
      <c r="Z80" s="1">
        <f t="shared" si="2"/>
        <v>842.98</v>
      </c>
      <c r="AA80" s="1">
        <f t="shared" si="2"/>
        <v>729.86</v>
      </c>
      <c r="AB80" s="1">
        <f t="shared" si="2"/>
        <v>113.12</v>
      </c>
      <c r="AD80" s="227">
        <v>265</v>
      </c>
      <c r="AE80" s="227">
        <v>265</v>
      </c>
      <c r="AF80" s="227">
        <v>0</v>
      </c>
      <c r="AG80" s="226"/>
      <c r="AH80" s="514"/>
    </row>
    <row r="81" spans="1:34" x14ac:dyDescent="0.2">
      <c r="A81" s="8">
        <v>15350</v>
      </c>
      <c r="B81" s="8" t="s">
        <v>133</v>
      </c>
      <c r="C81" s="8" t="s">
        <v>24</v>
      </c>
      <c r="D81" s="29" t="s">
        <v>2</v>
      </c>
      <c r="E81" s="226">
        <v>1</v>
      </c>
      <c r="F81" s="1">
        <v>1772</v>
      </c>
      <c r="G81" s="1">
        <v>1772</v>
      </c>
      <c r="H81" s="1">
        <v>0</v>
      </c>
      <c r="I81" s="226"/>
      <c r="J81" s="1">
        <v>0</v>
      </c>
      <c r="K81" s="1">
        <v>0</v>
      </c>
      <c r="L81" s="1">
        <v>0</v>
      </c>
      <c r="M81" s="513"/>
      <c r="N81" s="1">
        <v>0</v>
      </c>
      <c r="O81" s="1">
        <v>0</v>
      </c>
      <c r="P81" s="1">
        <v>0</v>
      </c>
      <c r="Q81" s="226"/>
      <c r="R81" s="1">
        <v>160</v>
      </c>
      <c r="S81" s="1">
        <v>160</v>
      </c>
      <c r="T81" s="1">
        <v>0</v>
      </c>
      <c r="U81" s="226"/>
      <c r="V81" s="1">
        <f t="shared" si="3"/>
        <v>1932</v>
      </c>
      <c r="W81" s="1">
        <f t="shared" si="3"/>
        <v>1932</v>
      </c>
      <c r="X81" s="1">
        <f t="shared" si="3"/>
        <v>0</v>
      </c>
      <c r="Z81" s="1">
        <f t="shared" si="2"/>
        <v>1772</v>
      </c>
      <c r="AA81" s="1">
        <f t="shared" si="2"/>
        <v>1772</v>
      </c>
      <c r="AB81" s="1">
        <f t="shared" si="2"/>
        <v>0</v>
      </c>
      <c r="AD81" s="227">
        <v>583</v>
      </c>
      <c r="AE81" s="227">
        <v>583</v>
      </c>
      <c r="AF81" s="227">
        <v>0</v>
      </c>
      <c r="AG81" s="226"/>
      <c r="AH81" s="514"/>
    </row>
    <row r="82" spans="1:34" x14ac:dyDescent="0.2">
      <c r="A82" s="8">
        <v>15520</v>
      </c>
      <c r="B82" s="8" t="s">
        <v>134</v>
      </c>
      <c r="C82" s="8" t="s">
        <v>66</v>
      </c>
      <c r="D82" s="29" t="s">
        <v>1</v>
      </c>
      <c r="E82" s="226"/>
      <c r="F82" s="1">
        <v>0</v>
      </c>
      <c r="G82" s="1">
        <v>0</v>
      </c>
      <c r="H82" s="1">
        <v>0</v>
      </c>
      <c r="I82" s="226">
        <v>1</v>
      </c>
      <c r="J82" s="1">
        <v>1456</v>
      </c>
      <c r="K82" s="1">
        <v>1456</v>
      </c>
      <c r="L82" s="1">
        <v>0</v>
      </c>
      <c r="M82" s="513"/>
      <c r="N82" s="1">
        <v>0</v>
      </c>
      <c r="O82" s="1">
        <v>0</v>
      </c>
      <c r="P82" s="1">
        <v>0</v>
      </c>
      <c r="Q82" s="226"/>
      <c r="R82" s="1">
        <v>0</v>
      </c>
      <c r="S82" s="1">
        <v>0</v>
      </c>
      <c r="T82" s="1">
        <v>0</v>
      </c>
      <c r="U82" s="226"/>
      <c r="V82" s="1">
        <f t="shared" si="3"/>
        <v>1456</v>
      </c>
      <c r="W82" s="1">
        <f t="shared" si="3"/>
        <v>1456</v>
      </c>
      <c r="X82" s="1">
        <f t="shared" si="3"/>
        <v>0</v>
      </c>
      <c r="Z82" s="1">
        <f t="shared" si="2"/>
        <v>1456</v>
      </c>
      <c r="AA82" s="1">
        <f t="shared" si="2"/>
        <v>1456</v>
      </c>
      <c r="AB82" s="1">
        <f t="shared" si="2"/>
        <v>0</v>
      </c>
      <c r="AD82" s="227">
        <v>0</v>
      </c>
      <c r="AE82" s="227">
        <v>0</v>
      </c>
      <c r="AF82" s="227">
        <v>0</v>
      </c>
      <c r="AG82" s="226"/>
      <c r="AH82" s="514"/>
    </row>
    <row r="83" spans="1:34" x14ac:dyDescent="0.2">
      <c r="A83" s="8">
        <v>15560</v>
      </c>
      <c r="B83" s="8" t="s">
        <v>135</v>
      </c>
      <c r="C83" s="8" t="s">
        <v>68</v>
      </c>
      <c r="D83" s="29" t="s">
        <v>1</v>
      </c>
      <c r="E83" s="226"/>
      <c r="F83" s="1">
        <v>0</v>
      </c>
      <c r="G83" s="1">
        <v>0</v>
      </c>
      <c r="H83" s="1">
        <v>0</v>
      </c>
      <c r="I83" s="226"/>
      <c r="J83" s="1">
        <v>0</v>
      </c>
      <c r="K83" s="1">
        <v>0</v>
      </c>
      <c r="L83" s="1">
        <v>0</v>
      </c>
      <c r="M83" s="513"/>
      <c r="N83" s="1">
        <v>300</v>
      </c>
      <c r="O83" s="1">
        <v>50</v>
      </c>
      <c r="P83" s="1">
        <v>250</v>
      </c>
      <c r="Q83" s="226"/>
      <c r="R83" s="1">
        <v>1.5</v>
      </c>
      <c r="S83" s="1">
        <v>0</v>
      </c>
      <c r="T83" s="1">
        <v>1.5</v>
      </c>
      <c r="U83" s="226"/>
      <c r="V83" s="1">
        <f t="shared" si="3"/>
        <v>301.5</v>
      </c>
      <c r="W83" s="1">
        <f t="shared" si="3"/>
        <v>50</v>
      </c>
      <c r="X83" s="1">
        <f t="shared" si="3"/>
        <v>251.5</v>
      </c>
      <c r="Z83" s="1">
        <f t="shared" si="2"/>
        <v>0</v>
      </c>
      <c r="AA83" s="1">
        <f t="shared" si="2"/>
        <v>0</v>
      </c>
      <c r="AB83" s="1">
        <f t="shared" si="2"/>
        <v>0</v>
      </c>
      <c r="AD83" s="227">
        <v>0</v>
      </c>
      <c r="AE83" s="227">
        <v>0</v>
      </c>
      <c r="AF83" s="227">
        <v>0</v>
      </c>
      <c r="AG83" s="226"/>
      <c r="AH83" s="514"/>
    </row>
    <row r="84" spans="1:34" x14ac:dyDescent="0.2">
      <c r="A84" s="8">
        <v>15650</v>
      </c>
      <c r="B84" s="8" t="s">
        <v>136</v>
      </c>
      <c r="C84" s="8" t="s">
        <v>23</v>
      </c>
      <c r="D84" s="29" t="s">
        <v>3</v>
      </c>
      <c r="E84" s="226">
        <v>1</v>
      </c>
      <c r="F84" s="1">
        <v>1611.66</v>
      </c>
      <c r="G84" s="1">
        <v>1534.0700000000002</v>
      </c>
      <c r="H84" s="1">
        <v>77.59</v>
      </c>
      <c r="I84" s="226"/>
      <c r="J84" s="1">
        <v>0</v>
      </c>
      <c r="K84" s="1">
        <v>0</v>
      </c>
      <c r="L84" s="1">
        <v>0</v>
      </c>
      <c r="M84" s="513"/>
      <c r="N84" s="1">
        <v>499.92</v>
      </c>
      <c r="O84" s="1">
        <v>499</v>
      </c>
      <c r="P84" s="1">
        <v>0.92</v>
      </c>
      <c r="Q84" s="226"/>
      <c r="R84" s="1">
        <v>17</v>
      </c>
      <c r="S84" s="1">
        <v>17</v>
      </c>
      <c r="T84" s="1">
        <v>0</v>
      </c>
      <c r="U84" s="226"/>
      <c r="V84" s="1">
        <f t="shared" si="3"/>
        <v>2128.58</v>
      </c>
      <c r="W84" s="1">
        <f t="shared" si="3"/>
        <v>2050.0700000000002</v>
      </c>
      <c r="X84" s="1">
        <f t="shared" si="3"/>
        <v>78.510000000000005</v>
      </c>
      <c r="Z84" s="1">
        <f t="shared" si="2"/>
        <v>1611.66</v>
      </c>
      <c r="AA84" s="1">
        <f t="shared" si="2"/>
        <v>1534.0700000000002</v>
      </c>
      <c r="AB84" s="1">
        <f t="shared" si="2"/>
        <v>77.59</v>
      </c>
      <c r="AD84" s="227">
        <v>84.76</v>
      </c>
      <c r="AE84" s="227">
        <v>84.76</v>
      </c>
      <c r="AF84" s="227">
        <v>0</v>
      </c>
      <c r="AG84" s="226"/>
      <c r="AH84" s="514"/>
    </row>
    <row r="85" spans="1:34" x14ac:dyDescent="0.2">
      <c r="A85" s="8">
        <v>15700</v>
      </c>
      <c r="B85" s="8" t="s">
        <v>54</v>
      </c>
      <c r="C85" s="8" t="s">
        <v>39</v>
      </c>
      <c r="D85" s="29" t="s">
        <v>3</v>
      </c>
      <c r="E85" s="226"/>
      <c r="F85" s="1">
        <v>0</v>
      </c>
      <c r="G85" s="1">
        <v>0</v>
      </c>
      <c r="H85" s="1">
        <v>0</v>
      </c>
      <c r="I85" s="226">
        <v>1</v>
      </c>
      <c r="J85" s="1">
        <v>2720</v>
      </c>
      <c r="K85" s="1">
        <v>2720</v>
      </c>
      <c r="L85" s="1">
        <v>0</v>
      </c>
      <c r="M85" s="513"/>
      <c r="N85" s="1">
        <v>333</v>
      </c>
      <c r="O85" s="1">
        <v>333</v>
      </c>
      <c r="P85" s="1">
        <v>0</v>
      </c>
      <c r="Q85" s="226"/>
      <c r="R85" s="1">
        <v>0</v>
      </c>
      <c r="S85" s="1">
        <v>0</v>
      </c>
      <c r="T85" s="1">
        <v>0</v>
      </c>
      <c r="U85" s="226"/>
      <c r="V85" s="1">
        <f t="shared" si="3"/>
        <v>3053</v>
      </c>
      <c r="W85" s="1">
        <f t="shared" si="3"/>
        <v>3053</v>
      </c>
      <c r="X85" s="1">
        <f t="shared" si="3"/>
        <v>0</v>
      </c>
      <c r="Z85" s="1">
        <f t="shared" si="2"/>
        <v>2720</v>
      </c>
      <c r="AA85" s="1">
        <f t="shared" si="2"/>
        <v>2720</v>
      </c>
      <c r="AB85" s="1">
        <f t="shared" si="2"/>
        <v>0</v>
      </c>
      <c r="AD85" s="227">
        <v>0</v>
      </c>
      <c r="AE85" s="227">
        <v>0</v>
      </c>
      <c r="AF85" s="227">
        <v>0</v>
      </c>
      <c r="AG85" s="226"/>
      <c r="AH85" s="514"/>
    </row>
    <row r="86" spans="1:34" x14ac:dyDescent="0.2">
      <c r="A86" s="8">
        <v>15750</v>
      </c>
      <c r="B86" s="8" t="s">
        <v>137</v>
      </c>
      <c r="C86" s="8" t="s">
        <v>16</v>
      </c>
      <c r="D86" s="29" t="s">
        <v>1</v>
      </c>
      <c r="E86" s="226"/>
      <c r="F86" s="1">
        <v>0</v>
      </c>
      <c r="G86" s="1">
        <v>0</v>
      </c>
      <c r="H86" s="1">
        <v>0</v>
      </c>
      <c r="I86" s="226">
        <v>1</v>
      </c>
      <c r="J86" s="1">
        <v>837.13</v>
      </c>
      <c r="K86" s="1">
        <v>837.13</v>
      </c>
      <c r="L86" s="1">
        <v>0</v>
      </c>
      <c r="M86" s="513"/>
      <c r="N86" s="1">
        <v>872.71</v>
      </c>
      <c r="O86" s="1">
        <v>872.71</v>
      </c>
      <c r="P86" s="1">
        <v>0</v>
      </c>
      <c r="Q86" s="226"/>
      <c r="R86" s="1">
        <v>0</v>
      </c>
      <c r="S86" s="1">
        <v>0</v>
      </c>
      <c r="T86" s="1">
        <v>0</v>
      </c>
      <c r="U86" s="226"/>
      <c r="V86" s="1">
        <f t="shared" si="3"/>
        <v>1709.8400000000001</v>
      </c>
      <c r="W86" s="1">
        <f t="shared" si="3"/>
        <v>1709.8400000000001</v>
      </c>
      <c r="X86" s="1">
        <f t="shared" si="3"/>
        <v>0</v>
      </c>
      <c r="Z86" s="1">
        <f t="shared" si="2"/>
        <v>837.13</v>
      </c>
      <c r="AA86" s="1">
        <f t="shared" si="2"/>
        <v>837.13</v>
      </c>
      <c r="AB86" s="1">
        <f t="shared" si="2"/>
        <v>0</v>
      </c>
      <c r="AD86" s="227">
        <v>0</v>
      </c>
      <c r="AE86" s="227">
        <v>0</v>
      </c>
      <c r="AF86" s="227">
        <v>0</v>
      </c>
      <c r="AG86" s="226"/>
      <c r="AH86" s="514"/>
    </row>
    <row r="87" spans="1:34" x14ac:dyDescent="0.2">
      <c r="A87" s="8">
        <v>15800</v>
      </c>
      <c r="B87" s="8" t="s">
        <v>138</v>
      </c>
      <c r="C87" s="8" t="s">
        <v>68</v>
      </c>
      <c r="D87" s="29" t="s">
        <v>1</v>
      </c>
      <c r="E87" s="226"/>
      <c r="F87" s="1">
        <v>0</v>
      </c>
      <c r="G87" s="1">
        <v>0</v>
      </c>
      <c r="H87" s="1">
        <v>0</v>
      </c>
      <c r="I87" s="226"/>
      <c r="J87" s="1">
        <v>0</v>
      </c>
      <c r="K87" s="1">
        <v>0</v>
      </c>
      <c r="L87" s="1">
        <v>0</v>
      </c>
      <c r="M87" s="513"/>
      <c r="N87" s="1">
        <v>0</v>
      </c>
      <c r="O87" s="1">
        <v>0</v>
      </c>
      <c r="P87" s="1">
        <v>0</v>
      </c>
      <c r="Q87" s="226"/>
      <c r="R87" s="1">
        <v>0</v>
      </c>
      <c r="S87" s="1">
        <v>0</v>
      </c>
      <c r="T87" s="1">
        <v>0</v>
      </c>
      <c r="U87" s="226"/>
      <c r="V87" s="1">
        <f t="shared" si="3"/>
        <v>0</v>
      </c>
      <c r="W87" s="1">
        <f t="shared" si="3"/>
        <v>0</v>
      </c>
      <c r="X87" s="1">
        <f t="shared" si="3"/>
        <v>0</v>
      </c>
      <c r="Z87" s="1">
        <f t="shared" si="2"/>
        <v>0</v>
      </c>
      <c r="AA87" s="1">
        <f t="shared" si="2"/>
        <v>0</v>
      </c>
      <c r="AB87" s="1">
        <f t="shared" si="2"/>
        <v>0</v>
      </c>
      <c r="AD87" s="227">
        <v>0</v>
      </c>
      <c r="AE87" s="227">
        <v>0</v>
      </c>
      <c r="AF87" s="227">
        <v>0</v>
      </c>
      <c r="AG87" s="226"/>
      <c r="AH87" s="514"/>
    </row>
    <row r="88" spans="1:34" x14ac:dyDescent="0.2">
      <c r="A88" s="8">
        <v>15850</v>
      </c>
      <c r="B88" s="8" t="s">
        <v>139</v>
      </c>
      <c r="C88" s="8" t="s">
        <v>38</v>
      </c>
      <c r="D88" s="29" t="s">
        <v>1</v>
      </c>
      <c r="E88" s="226"/>
      <c r="F88" s="1">
        <v>0</v>
      </c>
      <c r="G88" s="1">
        <v>0</v>
      </c>
      <c r="H88" s="1">
        <v>0</v>
      </c>
      <c r="I88" s="226">
        <v>1</v>
      </c>
      <c r="J88" s="1">
        <v>774.78</v>
      </c>
      <c r="K88" s="1">
        <v>774.78</v>
      </c>
      <c r="L88" s="1">
        <v>0</v>
      </c>
      <c r="M88" s="513"/>
      <c r="N88" s="1">
        <v>0</v>
      </c>
      <c r="O88" s="1">
        <v>0</v>
      </c>
      <c r="P88" s="1">
        <v>0</v>
      </c>
      <c r="Q88" s="226"/>
      <c r="R88" s="1">
        <v>0</v>
      </c>
      <c r="S88" s="1">
        <v>0</v>
      </c>
      <c r="T88" s="1">
        <v>0</v>
      </c>
      <c r="U88" s="226"/>
      <c r="V88" s="1">
        <f t="shared" si="3"/>
        <v>774.78</v>
      </c>
      <c r="W88" s="1">
        <f t="shared" si="3"/>
        <v>774.78</v>
      </c>
      <c r="X88" s="1">
        <f t="shared" si="3"/>
        <v>0</v>
      </c>
      <c r="Z88" s="1">
        <f t="shared" si="2"/>
        <v>774.78</v>
      </c>
      <c r="AA88" s="1">
        <f t="shared" si="2"/>
        <v>774.78</v>
      </c>
      <c r="AB88" s="1">
        <f t="shared" si="2"/>
        <v>0</v>
      </c>
      <c r="AD88" s="227">
        <v>0</v>
      </c>
      <c r="AE88" s="227">
        <v>0</v>
      </c>
      <c r="AF88" s="227">
        <v>0</v>
      </c>
      <c r="AG88" s="226"/>
      <c r="AH88" s="514"/>
    </row>
    <row r="89" spans="1:34" x14ac:dyDescent="0.2">
      <c r="A89" s="8">
        <v>15900</v>
      </c>
      <c r="B89" s="8" t="s">
        <v>140</v>
      </c>
      <c r="C89" s="8" t="s">
        <v>23</v>
      </c>
      <c r="D89" s="29" t="s">
        <v>2</v>
      </c>
      <c r="E89" s="226">
        <v>1</v>
      </c>
      <c r="F89" s="1">
        <v>14773</v>
      </c>
      <c r="G89" s="1">
        <v>14770.05</v>
      </c>
      <c r="H89" s="1">
        <v>2.95</v>
      </c>
      <c r="I89" s="226"/>
      <c r="J89" s="1">
        <v>0</v>
      </c>
      <c r="K89" s="1">
        <v>0</v>
      </c>
      <c r="L89" s="1">
        <v>0</v>
      </c>
      <c r="M89" s="513"/>
      <c r="N89" s="1">
        <v>1505</v>
      </c>
      <c r="O89" s="1">
        <v>1505</v>
      </c>
      <c r="P89" s="1">
        <v>0</v>
      </c>
      <c r="Q89" s="226"/>
      <c r="R89" s="1">
        <v>0</v>
      </c>
      <c r="S89" s="1">
        <v>0</v>
      </c>
      <c r="T89" s="1">
        <v>0</v>
      </c>
      <c r="U89" s="226"/>
      <c r="V89" s="1">
        <f t="shared" si="3"/>
        <v>16278</v>
      </c>
      <c r="W89" s="1">
        <f t="shared" si="3"/>
        <v>16275.05</v>
      </c>
      <c r="X89" s="1">
        <f t="shared" si="3"/>
        <v>2.95</v>
      </c>
      <c r="Z89" s="1">
        <f t="shared" si="2"/>
        <v>14773</v>
      </c>
      <c r="AA89" s="1">
        <f t="shared" si="2"/>
        <v>14770.05</v>
      </c>
      <c r="AB89" s="1">
        <f t="shared" si="2"/>
        <v>2.95</v>
      </c>
      <c r="AD89" s="227">
        <v>0</v>
      </c>
      <c r="AE89" s="227">
        <v>0</v>
      </c>
      <c r="AF89" s="227">
        <v>0</v>
      </c>
      <c r="AG89" s="226"/>
      <c r="AH89" s="514"/>
    </row>
    <row r="90" spans="1:34" x14ac:dyDescent="0.2">
      <c r="A90" s="8">
        <v>15950</v>
      </c>
      <c r="B90" s="8" t="s">
        <v>55</v>
      </c>
      <c r="C90" s="8" t="s">
        <v>24</v>
      </c>
      <c r="D90" s="29" t="s">
        <v>2</v>
      </c>
      <c r="E90" s="226">
        <v>1</v>
      </c>
      <c r="F90" s="1">
        <v>2022</v>
      </c>
      <c r="G90" s="1">
        <v>2022</v>
      </c>
      <c r="H90" s="1">
        <v>0</v>
      </c>
      <c r="I90" s="226"/>
      <c r="J90" s="1">
        <v>0</v>
      </c>
      <c r="K90" s="1">
        <v>0</v>
      </c>
      <c r="L90" s="1">
        <v>0</v>
      </c>
      <c r="M90" s="513"/>
      <c r="N90" s="1">
        <v>0</v>
      </c>
      <c r="O90" s="1">
        <v>0</v>
      </c>
      <c r="P90" s="1">
        <v>0</v>
      </c>
      <c r="Q90" s="226"/>
      <c r="R90" s="1">
        <v>0</v>
      </c>
      <c r="S90" s="1">
        <v>0</v>
      </c>
      <c r="T90" s="1">
        <v>0</v>
      </c>
      <c r="U90" s="226"/>
      <c r="V90" s="1">
        <f t="shared" si="3"/>
        <v>2022</v>
      </c>
      <c r="W90" s="1">
        <f t="shared" si="3"/>
        <v>2022</v>
      </c>
      <c r="X90" s="1">
        <f t="shared" si="3"/>
        <v>0</v>
      </c>
      <c r="Z90" s="1">
        <f t="shared" si="2"/>
        <v>2022</v>
      </c>
      <c r="AA90" s="1">
        <f t="shared" si="2"/>
        <v>2022</v>
      </c>
      <c r="AB90" s="1">
        <f t="shared" si="2"/>
        <v>0</v>
      </c>
      <c r="AD90" s="227">
        <v>159</v>
      </c>
      <c r="AE90" s="227">
        <v>159</v>
      </c>
      <c r="AF90" s="227">
        <v>0</v>
      </c>
      <c r="AG90" s="226"/>
      <c r="AH90" s="514"/>
    </row>
    <row r="91" spans="1:34" x14ac:dyDescent="0.2">
      <c r="A91" s="8">
        <v>15990</v>
      </c>
      <c r="B91" s="8" t="s">
        <v>141</v>
      </c>
      <c r="C91" s="8"/>
      <c r="D91" s="29" t="s">
        <v>2</v>
      </c>
      <c r="E91" s="226">
        <v>1</v>
      </c>
      <c r="F91" s="1">
        <v>29426.03</v>
      </c>
      <c r="G91" s="1">
        <v>29426.03</v>
      </c>
      <c r="H91" s="1">
        <v>0</v>
      </c>
      <c r="I91" s="226"/>
      <c r="J91" s="1">
        <v>0</v>
      </c>
      <c r="K91" s="1">
        <v>0</v>
      </c>
      <c r="L91" s="1">
        <v>0</v>
      </c>
      <c r="M91" s="513"/>
      <c r="N91" s="1">
        <v>0</v>
      </c>
      <c r="O91" s="1">
        <v>0</v>
      </c>
      <c r="P91" s="1">
        <v>0</v>
      </c>
      <c r="Q91" s="226"/>
      <c r="R91" s="1">
        <v>0</v>
      </c>
      <c r="S91" s="1">
        <v>0</v>
      </c>
      <c r="T91" s="1">
        <v>0</v>
      </c>
      <c r="U91" s="226"/>
      <c r="V91" s="1">
        <f t="shared" si="3"/>
        <v>29426.03</v>
      </c>
      <c r="W91" s="1">
        <f t="shared" si="3"/>
        <v>29426.03</v>
      </c>
      <c r="X91" s="1">
        <f t="shared" si="3"/>
        <v>0</v>
      </c>
      <c r="Z91" s="1">
        <f t="shared" si="2"/>
        <v>29426.03</v>
      </c>
      <c r="AA91" s="1">
        <f t="shared" si="2"/>
        <v>29426.03</v>
      </c>
      <c r="AB91" s="1">
        <f t="shared" si="2"/>
        <v>0</v>
      </c>
      <c r="AD91" s="227">
        <v>1079</v>
      </c>
      <c r="AE91" s="227">
        <v>1079</v>
      </c>
      <c r="AF91" s="227">
        <v>0</v>
      </c>
      <c r="AG91" s="226"/>
      <c r="AH91" s="514"/>
    </row>
    <row r="92" spans="1:34" x14ac:dyDescent="0.2">
      <c r="A92" s="8">
        <v>16100</v>
      </c>
      <c r="B92" s="8" t="s">
        <v>142</v>
      </c>
      <c r="C92" s="8" t="s">
        <v>38</v>
      </c>
      <c r="D92" s="29" t="s">
        <v>1</v>
      </c>
      <c r="F92" s="1">
        <v>0</v>
      </c>
      <c r="G92" s="1">
        <v>0</v>
      </c>
      <c r="H92" s="1">
        <v>0</v>
      </c>
      <c r="I92" s="226"/>
      <c r="J92" s="1">
        <v>0</v>
      </c>
      <c r="K92" s="1">
        <v>0</v>
      </c>
      <c r="L92" s="1">
        <v>0</v>
      </c>
      <c r="M92" s="513"/>
      <c r="N92" s="1">
        <v>259</v>
      </c>
      <c r="O92" s="1">
        <v>259</v>
      </c>
      <c r="P92" s="1">
        <v>0</v>
      </c>
      <c r="Q92" s="226"/>
      <c r="R92" s="1">
        <v>7.23</v>
      </c>
      <c r="S92" s="1">
        <v>7.23</v>
      </c>
      <c r="T92" s="1">
        <v>0</v>
      </c>
      <c r="U92" s="226"/>
      <c r="V92" s="1">
        <f t="shared" si="3"/>
        <v>266.23</v>
      </c>
      <c r="W92" s="1">
        <f t="shared" si="3"/>
        <v>266.23</v>
      </c>
      <c r="X92" s="1">
        <f t="shared" si="3"/>
        <v>0</v>
      </c>
      <c r="Z92" s="1">
        <f t="shared" si="2"/>
        <v>0</v>
      </c>
      <c r="AA92" s="1">
        <f t="shared" si="2"/>
        <v>0</v>
      </c>
      <c r="AB92" s="1">
        <f t="shared" si="2"/>
        <v>0</v>
      </c>
      <c r="AD92" s="227">
        <v>0</v>
      </c>
      <c r="AE92" s="227">
        <v>0</v>
      </c>
      <c r="AF92" s="227">
        <v>0</v>
      </c>
      <c r="AG92" s="226"/>
      <c r="AH92" s="514"/>
    </row>
    <row r="93" spans="1:34" x14ac:dyDescent="0.2">
      <c r="A93" s="8">
        <v>16150</v>
      </c>
      <c r="B93" s="8" t="s">
        <v>143</v>
      </c>
      <c r="C93" s="8" t="s">
        <v>38</v>
      </c>
      <c r="D93" s="29" t="s">
        <v>1</v>
      </c>
      <c r="E93" s="226">
        <v>2</v>
      </c>
      <c r="F93" s="1">
        <v>21.81</v>
      </c>
      <c r="G93" s="1">
        <v>21.81</v>
      </c>
      <c r="H93" s="1">
        <v>0</v>
      </c>
      <c r="I93" s="226">
        <v>1</v>
      </c>
      <c r="J93" s="1">
        <v>5710.96</v>
      </c>
      <c r="K93" s="1">
        <v>5706.84</v>
      </c>
      <c r="L93" s="1">
        <v>4.12</v>
      </c>
      <c r="M93" s="513"/>
      <c r="N93" s="1">
        <v>5476.57</v>
      </c>
      <c r="O93" s="1">
        <v>5476.57</v>
      </c>
      <c r="P93" s="1">
        <v>0</v>
      </c>
      <c r="Q93" s="226"/>
      <c r="R93" s="1">
        <v>6</v>
      </c>
      <c r="S93" s="1">
        <v>6</v>
      </c>
      <c r="T93" s="1">
        <v>0</v>
      </c>
      <c r="U93" s="226"/>
      <c r="V93" s="1">
        <f t="shared" si="3"/>
        <v>11215.34</v>
      </c>
      <c r="W93" s="1">
        <f t="shared" si="3"/>
        <v>11211.220000000001</v>
      </c>
      <c r="X93" s="1">
        <f t="shared" si="3"/>
        <v>4.12</v>
      </c>
      <c r="Z93" s="1">
        <f t="shared" si="2"/>
        <v>5732.77</v>
      </c>
      <c r="AA93" s="1">
        <f t="shared" si="2"/>
        <v>5728.6500000000005</v>
      </c>
      <c r="AB93" s="1">
        <f t="shared" si="2"/>
        <v>4.12</v>
      </c>
      <c r="AD93" s="227">
        <v>24.28</v>
      </c>
      <c r="AE93" s="227">
        <v>24.28</v>
      </c>
      <c r="AF93" s="227">
        <v>0</v>
      </c>
      <c r="AG93" s="226"/>
      <c r="AH93" s="514"/>
    </row>
    <row r="94" spans="1:34" x14ac:dyDescent="0.2">
      <c r="A94" s="8">
        <v>16200</v>
      </c>
      <c r="B94" s="8" t="s">
        <v>144</v>
      </c>
      <c r="C94" s="8" t="s">
        <v>38</v>
      </c>
      <c r="D94" s="29" t="s">
        <v>1</v>
      </c>
      <c r="E94" s="226"/>
      <c r="F94" s="1">
        <v>0</v>
      </c>
      <c r="G94" s="1">
        <v>0</v>
      </c>
      <c r="H94" s="1">
        <v>0</v>
      </c>
      <c r="I94" s="226">
        <v>1</v>
      </c>
      <c r="J94" s="1">
        <v>1603</v>
      </c>
      <c r="K94" s="1">
        <v>1603</v>
      </c>
      <c r="L94" s="1">
        <v>0</v>
      </c>
      <c r="M94" s="513"/>
      <c r="N94" s="1">
        <v>1800</v>
      </c>
      <c r="O94" s="1">
        <v>1800</v>
      </c>
      <c r="P94" s="1">
        <v>0</v>
      </c>
      <c r="Q94" s="226"/>
      <c r="R94" s="1">
        <v>0</v>
      </c>
      <c r="S94" s="1">
        <v>0</v>
      </c>
      <c r="T94" s="1">
        <v>0</v>
      </c>
      <c r="U94" s="226"/>
      <c r="V94" s="1">
        <f t="shared" si="3"/>
        <v>3403</v>
      </c>
      <c r="W94" s="1">
        <f t="shared" si="3"/>
        <v>3403</v>
      </c>
      <c r="X94" s="1">
        <f t="shared" si="3"/>
        <v>0</v>
      </c>
      <c r="Z94" s="1">
        <f t="shared" si="2"/>
        <v>1603</v>
      </c>
      <c r="AA94" s="1">
        <f t="shared" si="2"/>
        <v>1603</v>
      </c>
      <c r="AB94" s="1">
        <f t="shared" si="2"/>
        <v>0</v>
      </c>
      <c r="AD94" s="227">
        <v>1623</v>
      </c>
      <c r="AE94" s="227">
        <v>1623</v>
      </c>
      <c r="AF94" s="227">
        <v>0</v>
      </c>
      <c r="AG94" s="226"/>
      <c r="AH94" s="514"/>
    </row>
    <row r="95" spans="1:34" x14ac:dyDescent="0.2">
      <c r="A95" s="8">
        <v>16260</v>
      </c>
      <c r="B95" s="8" t="s">
        <v>56</v>
      </c>
      <c r="C95" s="8" t="s">
        <v>18</v>
      </c>
      <c r="D95" s="29" t="s">
        <v>2</v>
      </c>
      <c r="E95" s="226">
        <v>1</v>
      </c>
      <c r="F95" s="1">
        <v>15449.26</v>
      </c>
      <c r="G95" s="1">
        <v>15449.26</v>
      </c>
      <c r="H95" s="1">
        <v>0</v>
      </c>
      <c r="I95" s="226"/>
      <c r="J95" s="1">
        <v>0</v>
      </c>
      <c r="K95" s="1">
        <v>0</v>
      </c>
      <c r="L95" s="1">
        <v>0</v>
      </c>
      <c r="M95" s="513"/>
      <c r="N95" s="1">
        <v>0</v>
      </c>
      <c r="O95" s="1">
        <v>0</v>
      </c>
      <c r="P95" s="1">
        <v>0</v>
      </c>
      <c r="Q95" s="226"/>
      <c r="R95" s="1">
        <v>0</v>
      </c>
      <c r="S95" s="1">
        <v>0</v>
      </c>
      <c r="T95" s="1">
        <v>0</v>
      </c>
      <c r="U95" s="226"/>
      <c r="V95" s="1">
        <f t="shared" si="3"/>
        <v>15449.26</v>
      </c>
      <c r="W95" s="1">
        <f t="shared" si="3"/>
        <v>15449.26</v>
      </c>
      <c r="X95" s="1">
        <f t="shared" si="3"/>
        <v>0</v>
      </c>
      <c r="Z95" s="1">
        <f t="shared" si="2"/>
        <v>15449.26</v>
      </c>
      <c r="AA95" s="1">
        <f t="shared" si="2"/>
        <v>15449.26</v>
      </c>
      <c r="AB95" s="1">
        <f t="shared" si="2"/>
        <v>0</v>
      </c>
      <c r="AD95" s="227">
        <v>0</v>
      </c>
      <c r="AE95" s="227">
        <v>0</v>
      </c>
      <c r="AF95" s="227">
        <v>0</v>
      </c>
      <c r="AG95" s="226"/>
      <c r="AH95" s="514"/>
    </row>
    <row r="96" spans="1:34" x14ac:dyDescent="0.2">
      <c r="A96" s="8">
        <v>16350</v>
      </c>
      <c r="B96" s="8" t="s">
        <v>57</v>
      </c>
      <c r="C96" s="8" t="s">
        <v>182</v>
      </c>
      <c r="D96" s="29" t="s">
        <v>2</v>
      </c>
      <c r="E96" s="226"/>
      <c r="F96" s="1">
        <v>0</v>
      </c>
      <c r="G96" s="1">
        <v>0</v>
      </c>
      <c r="H96" s="1">
        <v>0</v>
      </c>
      <c r="I96" s="226">
        <v>1</v>
      </c>
      <c r="J96" s="1">
        <v>35762.44</v>
      </c>
      <c r="K96" s="1">
        <v>34653.800000000003</v>
      </c>
      <c r="L96" s="1">
        <v>1108.6400000000001</v>
      </c>
      <c r="M96" s="513"/>
      <c r="N96" s="1">
        <v>2.02</v>
      </c>
      <c r="O96" s="1">
        <v>2.02</v>
      </c>
      <c r="P96" s="1">
        <v>0</v>
      </c>
      <c r="Q96" s="226"/>
      <c r="R96" s="1">
        <v>25.58</v>
      </c>
      <c r="S96" s="1">
        <v>25.069999999999997</v>
      </c>
      <c r="T96" s="1">
        <v>0.51</v>
      </c>
      <c r="U96" s="226"/>
      <c r="V96" s="1">
        <f t="shared" si="3"/>
        <v>35790.04</v>
      </c>
      <c r="W96" s="1">
        <f t="shared" si="3"/>
        <v>34680.89</v>
      </c>
      <c r="X96" s="1">
        <f t="shared" si="3"/>
        <v>1109.1500000000001</v>
      </c>
      <c r="Z96" s="1">
        <f t="shared" si="2"/>
        <v>35762.44</v>
      </c>
      <c r="AA96" s="1">
        <f t="shared" si="2"/>
        <v>34653.800000000003</v>
      </c>
      <c r="AB96" s="1">
        <f t="shared" si="2"/>
        <v>1108.6400000000001</v>
      </c>
      <c r="AD96" s="227">
        <v>1625.54</v>
      </c>
      <c r="AE96" s="227">
        <v>1625.54</v>
      </c>
      <c r="AF96" s="227">
        <v>0</v>
      </c>
      <c r="AG96" s="226"/>
      <c r="AH96" s="514"/>
    </row>
    <row r="97" spans="1:34" x14ac:dyDescent="0.2">
      <c r="A97" s="8">
        <v>16380</v>
      </c>
      <c r="B97" s="8" t="s">
        <v>145</v>
      </c>
      <c r="C97" s="8" t="s">
        <v>39</v>
      </c>
      <c r="D97" s="29" t="s">
        <v>3</v>
      </c>
      <c r="E97" s="226"/>
      <c r="F97" s="1">
        <v>0</v>
      </c>
      <c r="G97" s="1">
        <v>0</v>
      </c>
      <c r="H97" s="1">
        <v>0</v>
      </c>
      <c r="I97" s="226">
        <v>1</v>
      </c>
      <c r="J97" s="1">
        <v>13653.56</v>
      </c>
      <c r="K97" s="1">
        <v>13611.24</v>
      </c>
      <c r="L97" s="1">
        <v>42.32</v>
      </c>
      <c r="M97" s="513"/>
      <c r="N97" s="1">
        <v>3696.99</v>
      </c>
      <c r="O97" s="1">
        <v>3696.99</v>
      </c>
      <c r="P97" s="1">
        <v>0</v>
      </c>
      <c r="Q97" s="226"/>
      <c r="R97" s="1">
        <v>0</v>
      </c>
      <c r="S97" s="1">
        <v>0</v>
      </c>
      <c r="T97" s="1">
        <v>0</v>
      </c>
      <c r="U97" s="226"/>
      <c r="V97" s="1">
        <f t="shared" si="3"/>
        <v>17350.55</v>
      </c>
      <c r="W97" s="1">
        <f t="shared" si="3"/>
        <v>17308.23</v>
      </c>
      <c r="X97" s="1">
        <f t="shared" si="3"/>
        <v>42.32</v>
      </c>
      <c r="Z97" s="1">
        <f t="shared" si="2"/>
        <v>13653.56</v>
      </c>
      <c r="AA97" s="1">
        <f t="shared" si="2"/>
        <v>13611.24</v>
      </c>
      <c r="AB97" s="1">
        <f t="shared" si="2"/>
        <v>42.32</v>
      </c>
      <c r="AD97" s="227">
        <v>10658.68</v>
      </c>
      <c r="AE97" s="227">
        <v>10658.68</v>
      </c>
      <c r="AF97" s="227">
        <v>0</v>
      </c>
      <c r="AG97" s="226"/>
      <c r="AH97" s="514"/>
    </row>
    <row r="98" spans="1:34" x14ac:dyDescent="0.2">
      <c r="A98" s="8">
        <v>16400</v>
      </c>
      <c r="B98" s="8" t="s">
        <v>58</v>
      </c>
      <c r="C98" s="8" t="s">
        <v>23</v>
      </c>
      <c r="D98" s="29" t="s">
        <v>2</v>
      </c>
      <c r="E98" s="226"/>
      <c r="F98" s="1">
        <v>0</v>
      </c>
      <c r="G98" s="1">
        <v>0</v>
      </c>
      <c r="H98" s="1">
        <v>0</v>
      </c>
      <c r="I98" s="226"/>
      <c r="J98" s="1">
        <v>0</v>
      </c>
      <c r="K98" s="1">
        <v>0</v>
      </c>
      <c r="L98" s="1">
        <v>0</v>
      </c>
      <c r="M98" s="513"/>
      <c r="N98" s="1">
        <v>2103.8000000000002</v>
      </c>
      <c r="O98" s="1">
        <v>2103.8000000000002</v>
      </c>
      <c r="P98" s="1">
        <v>0</v>
      </c>
      <c r="Q98" s="226"/>
      <c r="R98" s="1">
        <v>0</v>
      </c>
      <c r="S98" s="1">
        <v>0</v>
      </c>
      <c r="T98" s="1">
        <v>0</v>
      </c>
      <c r="U98" s="226"/>
      <c r="V98" s="1">
        <f t="shared" si="3"/>
        <v>2103.8000000000002</v>
      </c>
      <c r="W98" s="1">
        <f t="shared" si="3"/>
        <v>2103.8000000000002</v>
      </c>
      <c r="X98" s="1">
        <f t="shared" si="3"/>
        <v>0</v>
      </c>
      <c r="Z98" s="1">
        <f t="shared" si="2"/>
        <v>0</v>
      </c>
      <c r="AA98" s="1">
        <f t="shared" si="2"/>
        <v>0</v>
      </c>
      <c r="AB98" s="1">
        <f t="shared" si="2"/>
        <v>0</v>
      </c>
      <c r="AD98" s="227">
        <v>0</v>
      </c>
      <c r="AE98" s="227">
        <v>0</v>
      </c>
      <c r="AF98" s="227">
        <v>0</v>
      </c>
      <c r="AG98" s="226"/>
      <c r="AH98" s="514"/>
    </row>
    <row r="99" spans="1:34" x14ac:dyDescent="0.2">
      <c r="A99" s="8">
        <v>16490</v>
      </c>
      <c r="B99" s="8" t="s">
        <v>146</v>
      </c>
      <c r="C99" s="8" t="s">
        <v>67</v>
      </c>
      <c r="D99" s="29" t="s">
        <v>1</v>
      </c>
      <c r="E99" s="226">
        <v>2</v>
      </c>
      <c r="F99" s="1">
        <v>1224</v>
      </c>
      <c r="G99" s="1">
        <v>1200</v>
      </c>
      <c r="H99" s="1">
        <v>24</v>
      </c>
      <c r="I99" s="226">
        <v>2</v>
      </c>
      <c r="J99" s="1">
        <v>2332</v>
      </c>
      <c r="K99" s="1">
        <v>2286</v>
      </c>
      <c r="L99" s="1">
        <v>46</v>
      </c>
      <c r="M99" s="513"/>
      <c r="N99" s="1">
        <v>3093</v>
      </c>
      <c r="O99" s="1">
        <v>2784</v>
      </c>
      <c r="P99" s="1">
        <v>309</v>
      </c>
      <c r="Q99" s="226"/>
      <c r="R99" s="1">
        <v>0</v>
      </c>
      <c r="S99" s="1">
        <v>0</v>
      </c>
      <c r="T99" s="1">
        <v>0</v>
      </c>
      <c r="U99" s="226"/>
      <c r="V99" s="1">
        <f t="shared" si="3"/>
        <v>6649</v>
      </c>
      <c r="W99" s="1">
        <f t="shared" si="3"/>
        <v>6270</v>
      </c>
      <c r="X99" s="1">
        <f t="shared" si="3"/>
        <v>379</v>
      </c>
      <c r="Z99" s="1">
        <f t="shared" si="2"/>
        <v>3556</v>
      </c>
      <c r="AA99" s="1">
        <f t="shared" si="2"/>
        <v>3486</v>
      </c>
      <c r="AB99" s="1">
        <f t="shared" si="2"/>
        <v>70</v>
      </c>
      <c r="AD99" s="227">
        <v>0</v>
      </c>
      <c r="AE99" s="227">
        <v>0</v>
      </c>
      <c r="AF99" s="227">
        <v>0</v>
      </c>
      <c r="AG99" s="226"/>
      <c r="AH99" s="514"/>
    </row>
    <row r="100" spans="1:34" x14ac:dyDescent="0.2">
      <c r="A100" s="8">
        <v>16550</v>
      </c>
      <c r="B100" s="8" t="s">
        <v>59</v>
      </c>
      <c r="C100" s="8" t="s">
        <v>17</v>
      </c>
      <c r="D100" s="29" t="s">
        <v>2</v>
      </c>
      <c r="E100" s="226"/>
      <c r="F100" s="1">
        <v>0</v>
      </c>
      <c r="G100" s="1">
        <v>0</v>
      </c>
      <c r="H100" s="1">
        <v>0</v>
      </c>
      <c r="I100" s="226">
        <v>1</v>
      </c>
      <c r="J100" s="1">
        <v>13726.79</v>
      </c>
      <c r="K100" s="1">
        <v>12902.79</v>
      </c>
      <c r="L100" s="1">
        <v>824</v>
      </c>
      <c r="M100" s="513"/>
      <c r="N100" s="1">
        <v>0</v>
      </c>
      <c r="O100" s="1">
        <v>0</v>
      </c>
      <c r="P100" s="1">
        <v>0</v>
      </c>
      <c r="Q100" s="226"/>
      <c r="R100" s="1">
        <v>0</v>
      </c>
      <c r="S100" s="1">
        <v>0</v>
      </c>
      <c r="T100" s="1">
        <v>0</v>
      </c>
      <c r="U100" s="226"/>
      <c r="V100" s="1">
        <f t="shared" si="3"/>
        <v>13726.79</v>
      </c>
      <c r="W100" s="1">
        <f t="shared" si="3"/>
        <v>12902.79</v>
      </c>
      <c r="X100" s="1">
        <f t="shared" si="3"/>
        <v>824</v>
      </c>
      <c r="Z100" s="1">
        <f t="shared" si="2"/>
        <v>13726.79</v>
      </c>
      <c r="AA100" s="1">
        <f t="shared" si="2"/>
        <v>12902.79</v>
      </c>
      <c r="AB100" s="1">
        <f t="shared" si="2"/>
        <v>824</v>
      </c>
      <c r="AD100" s="227">
        <v>0</v>
      </c>
      <c r="AE100" s="227">
        <v>0</v>
      </c>
      <c r="AF100" s="227">
        <v>0</v>
      </c>
      <c r="AG100" s="226"/>
      <c r="AH100" s="514"/>
    </row>
    <row r="101" spans="1:34" x14ac:dyDescent="0.2">
      <c r="A101" s="8">
        <v>16610</v>
      </c>
      <c r="B101" s="8" t="s">
        <v>147</v>
      </c>
      <c r="C101" s="8" t="s">
        <v>19</v>
      </c>
      <c r="D101" s="29" t="s">
        <v>3</v>
      </c>
      <c r="E101" s="226"/>
      <c r="F101" s="1">
        <v>0</v>
      </c>
      <c r="G101" s="1">
        <v>0</v>
      </c>
      <c r="H101" s="1">
        <v>0</v>
      </c>
      <c r="I101" s="226">
        <v>1</v>
      </c>
      <c r="J101" s="1">
        <v>3093</v>
      </c>
      <c r="K101" s="1">
        <v>2605</v>
      </c>
      <c r="L101" s="1">
        <v>488</v>
      </c>
      <c r="M101" s="513"/>
      <c r="N101" s="1">
        <v>446</v>
      </c>
      <c r="O101" s="1">
        <v>446</v>
      </c>
      <c r="P101" s="1">
        <v>0</v>
      </c>
      <c r="Q101" s="226"/>
      <c r="R101" s="1">
        <v>0</v>
      </c>
      <c r="S101" s="1">
        <v>0</v>
      </c>
      <c r="T101" s="1">
        <v>0</v>
      </c>
      <c r="U101" s="226"/>
      <c r="V101" s="1">
        <f t="shared" si="3"/>
        <v>3539</v>
      </c>
      <c r="W101" s="1">
        <f t="shared" si="3"/>
        <v>3051</v>
      </c>
      <c r="X101" s="1">
        <f t="shared" si="3"/>
        <v>488</v>
      </c>
      <c r="Z101" s="1">
        <f t="shared" si="2"/>
        <v>3093</v>
      </c>
      <c r="AA101" s="1">
        <f t="shared" si="2"/>
        <v>2605</v>
      </c>
      <c r="AB101" s="1">
        <f t="shared" si="2"/>
        <v>488</v>
      </c>
      <c r="AD101" s="227">
        <v>3289</v>
      </c>
      <c r="AE101" s="227">
        <v>3289</v>
      </c>
      <c r="AF101" s="227">
        <v>0</v>
      </c>
      <c r="AG101" s="226"/>
      <c r="AH101" s="514"/>
    </row>
    <row r="102" spans="1:34" x14ac:dyDescent="0.2">
      <c r="A102" s="8">
        <v>16700</v>
      </c>
      <c r="B102" s="8" t="s">
        <v>60</v>
      </c>
      <c r="C102" s="8" t="s">
        <v>24</v>
      </c>
      <c r="D102" s="29" t="s">
        <v>2</v>
      </c>
      <c r="E102" s="226">
        <v>1</v>
      </c>
      <c r="F102" s="1">
        <v>9725.7999999999993</v>
      </c>
      <c r="G102" s="1">
        <v>9404.8499999999985</v>
      </c>
      <c r="H102" s="1">
        <v>320.95</v>
      </c>
      <c r="I102" s="226"/>
      <c r="J102" s="1">
        <v>0</v>
      </c>
      <c r="K102" s="1">
        <v>0</v>
      </c>
      <c r="L102" s="1">
        <v>0</v>
      </c>
      <c r="M102" s="513"/>
      <c r="N102" s="1">
        <v>0</v>
      </c>
      <c r="O102" s="1">
        <v>0</v>
      </c>
      <c r="P102" s="1">
        <v>0</v>
      </c>
      <c r="Q102" s="226"/>
      <c r="R102" s="1">
        <v>182</v>
      </c>
      <c r="S102" s="1">
        <v>182</v>
      </c>
      <c r="T102" s="1">
        <v>0</v>
      </c>
      <c r="U102" s="226"/>
      <c r="V102" s="1">
        <f t="shared" si="3"/>
        <v>9907.7999999999993</v>
      </c>
      <c r="W102" s="1">
        <f t="shared" si="3"/>
        <v>9586.8499999999985</v>
      </c>
      <c r="X102" s="1">
        <f t="shared" si="3"/>
        <v>320.95</v>
      </c>
      <c r="Z102" s="1">
        <f t="shared" si="2"/>
        <v>9725.7999999999993</v>
      </c>
      <c r="AA102" s="1">
        <f t="shared" si="2"/>
        <v>9404.8499999999985</v>
      </c>
      <c r="AB102" s="1">
        <f t="shared" si="2"/>
        <v>320.95</v>
      </c>
      <c r="AD102" s="227">
        <v>90.7</v>
      </c>
      <c r="AE102" s="227">
        <v>90.7</v>
      </c>
      <c r="AF102" s="227">
        <v>0</v>
      </c>
      <c r="AG102" s="226"/>
      <c r="AH102" s="514"/>
    </row>
    <row r="103" spans="1:34" x14ac:dyDescent="0.2">
      <c r="A103" s="8">
        <v>16900</v>
      </c>
      <c r="B103" s="8" t="s">
        <v>148</v>
      </c>
      <c r="C103" s="8" t="s">
        <v>37</v>
      </c>
      <c r="D103" s="29" t="s">
        <v>2</v>
      </c>
      <c r="E103" s="226"/>
      <c r="F103" s="1">
        <v>0</v>
      </c>
      <c r="G103" s="1">
        <v>0</v>
      </c>
      <c r="H103" s="1">
        <v>0</v>
      </c>
      <c r="I103" s="226">
        <v>1</v>
      </c>
      <c r="J103" s="1">
        <v>12775</v>
      </c>
      <c r="K103" s="1">
        <v>12252</v>
      </c>
      <c r="L103" s="1">
        <v>523</v>
      </c>
      <c r="M103" s="513"/>
      <c r="N103" s="1">
        <v>1298</v>
      </c>
      <c r="O103" s="1">
        <v>1298</v>
      </c>
      <c r="P103" s="1">
        <v>0</v>
      </c>
      <c r="Q103" s="226"/>
      <c r="R103" s="1">
        <v>0</v>
      </c>
      <c r="S103" s="1">
        <v>0</v>
      </c>
      <c r="T103" s="1">
        <v>0</v>
      </c>
      <c r="U103" s="226"/>
      <c r="V103" s="1">
        <f t="shared" si="3"/>
        <v>14073</v>
      </c>
      <c r="W103" s="1">
        <f t="shared" si="3"/>
        <v>13550</v>
      </c>
      <c r="X103" s="1">
        <f t="shared" si="3"/>
        <v>523</v>
      </c>
      <c r="Z103" s="1">
        <f t="shared" si="2"/>
        <v>12775</v>
      </c>
      <c r="AA103" s="1">
        <f t="shared" si="2"/>
        <v>12252</v>
      </c>
      <c r="AB103" s="1">
        <f t="shared" si="2"/>
        <v>523</v>
      </c>
      <c r="AD103" s="227">
        <v>0</v>
      </c>
      <c r="AE103" s="227">
        <v>0</v>
      </c>
      <c r="AF103" s="227">
        <v>0</v>
      </c>
      <c r="AG103" s="226"/>
      <c r="AH103" s="514"/>
    </row>
    <row r="104" spans="1:34" x14ac:dyDescent="0.2">
      <c r="A104" s="8">
        <v>16950</v>
      </c>
      <c r="B104" s="8" t="s">
        <v>149</v>
      </c>
      <c r="C104" s="8" t="s">
        <v>37</v>
      </c>
      <c r="D104" s="29" t="s">
        <v>2</v>
      </c>
      <c r="E104" s="226"/>
      <c r="F104" s="1">
        <v>0</v>
      </c>
      <c r="G104" s="1">
        <v>0</v>
      </c>
      <c r="H104" s="1">
        <v>0</v>
      </c>
      <c r="I104" s="226"/>
      <c r="J104" s="1">
        <v>0</v>
      </c>
      <c r="K104" s="1">
        <v>0</v>
      </c>
      <c r="L104" s="1">
        <v>0</v>
      </c>
      <c r="M104" s="513"/>
      <c r="N104" s="1">
        <v>6639.5</v>
      </c>
      <c r="O104" s="1">
        <v>6639.5</v>
      </c>
      <c r="P104" s="1">
        <v>0</v>
      </c>
      <c r="Q104" s="226"/>
      <c r="R104" s="1">
        <v>6632.6</v>
      </c>
      <c r="S104" s="1">
        <v>6632.6</v>
      </c>
      <c r="T104" s="1">
        <v>0</v>
      </c>
      <c r="U104" s="226"/>
      <c r="V104" s="1">
        <f t="shared" si="3"/>
        <v>13272.1</v>
      </c>
      <c r="W104" s="1">
        <f t="shared" si="3"/>
        <v>13272.1</v>
      </c>
      <c r="X104" s="1">
        <f t="shared" si="3"/>
        <v>0</v>
      </c>
      <c r="Z104" s="1">
        <f t="shared" si="2"/>
        <v>0</v>
      </c>
      <c r="AA104" s="1">
        <f t="shared" si="2"/>
        <v>0</v>
      </c>
      <c r="AB104" s="1">
        <f t="shared" si="2"/>
        <v>0</v>
      </c>
      <c r="AD104" s="227">
        <v>0</v>
      </c>
      <c r="AE104" s="227">
        <v>0</v>
      </c>
      <c r="AF104" s="227">
        <v>0</v>
      </c>
      <c r="AG104" s="226"/>
      <c r="AH104" s="514"/>
    </row>
    <row r="105" spans="1:34" x14ac:dyDescent="0.2">
      <c r="A105" s="8">
        <v>17000</v>
      </c>
      <c r="B105" s="8" t="s">
        <v>150</v>
      </c>
      <c r="C105" s="8" t="s">
        <v>23</v>
      </c>
      <c r="D105" s="29" t="s">
        <v>3</v>
      </c>
      <c r="E105" s="226">
        <v>1</v>
      </c>
      <c r="F105" s="1">
        <v>2039.75</v>
      </c>
      <c r="G105" s="1">
        <v>2017.94</v>
      </c>
      <c r="H105" s="1">
        <v>21.81</v>
      </c>
      <c r="I105" s="226"/>
      <c r="J105" s="1">
        <v>0</v>
      </c>
      <c r="K105" s="1">
        <v>0</v>
      </c>
      <c r="L105" s="1">
        <v>0</v>
      </c>
      <c r="M105" s="513"/>
      <c r="N105" s="1">
        <v>390.18</v>
      </c>
      <c r="O105" s="1">
        <v>390.18</v>
      </c>
      <c r="P105" s="1">
        <v>0</v>
      </c>
      <c r="Q105" s="226"/>
      <c r="R105" s="1">
        <v>0</v>
      </c>
      <c r="S105" s="1">
        <v>0</v>
      </c>
      <c r="T105" s="1">
        <v>0</v>
      </c>
      <c r="U105" s="226"/>
      <c r="V105" s="1">
        <f t="shared" si="3"/>
        <v>2429.9299999999998</v>
      </c>
      <c r="W105" s="1">
        <f t="shared" si="3"/>
        <v>2408.12</v>
      </c>
      <c r="X105" s="1">
        <f t="shared" si="3"/>
        <v>21.81</v>
      </c>
      <c r="Z105" s="1">
        <f t="shared" si="2"/>
        <v>2039.75</v>
      </c>
      <c r="AA105" s="1">
        <f t="shared" si="2"/>
        <v>2017.94</v>
      </c>
      <c r="AB105" s="1">
        <f t="shared" si="2"/>
        <v>21.81</v>
      </c>
      <c r="AD105" s="227">
        <v>0</v>
      </c>
      <c r="AE105" s="227">
        <v>0</v>
      </c>
      <c r="AF105" s="227">
        <v>0</v>
      </c>
      <c r="AG105" s="226"/>
      <c r="AH105" s="514"/>
    </row>
    <row r="106" spans="1:34" x14ac:dyDescent="0.2">
      <c r="A106" s="8">
        <v>17040</v>
      </c>
      <c r="B106" s="8" t="s">
        <v>151</v>
      </c>
      <c r="C106" s="8" t="s">
        <v>67</v>
      </c>
      <c r="D106" s="29" t="s">
        <v>1</v>
      </c>
      <c r="E106" s="226"/>
      <c r="F106" s="1">
        <v>0</v>
      </c>
      <c r="G106" s="1">
        <v>0</v>
      </c>
      <c r="H106" s="1">
        <v>0</v>
      </c>
      <c r="I106" s="226">
        <v>1</v>
      </c>
      <c r="J106" s="1">
        <v>615.97</v>
      </c>
      <c r="K106" s="1">
        <v>582.97</v>
      </c>
      <c r="L106" s="1">
        <v>33</v>
      </c>
      <c r="M106" s="513"/>
      <c r="N106" s="1">
        <v>658.94</v>
      </c>
      <c r="O106" s="1">
        <v>658.94</v>
      </c>
      <c r="P106" s="1">
        <v>0</v>
      </c>
      <c r="Q106" s="226"/>
      <c r="R106" s="1">
        <v>0</v>
      </c>
      <c r="S106" s="1">
        <v>0</v>
      </c>
      <c r="T106" s="1">
        <v>0</v>
      </c>
      <c r="U106" s="226"/>
      <c r="V106" s="1">
        <f t="shared" si="3"/>
        <v>1274.9100000000001</v>
      </c>
      <c r="W106" s="1">
        <f t="shared" si="3"/>
        <v>1241.9100000000001</v>
      </c>
      <c r="X106" s="1">
        <f t="shared" si="3"/>
        <v>33</v>
      </c>
      <c r="Z106" s="1">
        <f t="shared" si="2"/>
        <v>615.97</v>
      </c>
      <c r="AA106" s="1">
        <f t="shared" si="2"/>
        <v>582.97</v>
      </c>
      <c r="AB106" s="1">
        <f t="shared" si="2"/>
        <v>33</v>
      </c>
      <c r="AD106" s="227">
        <v>0</v>
      </c>
      <c r="AE106" s="227">
        <v>0</v>
      </c>
      <c r="AF106" s="227">
        <v>0</v>
      </c>
      <c r="AG106" s="226"/>
      <c r="AH106" s="514"/>
    </row>
    <row r="107" spans="1:34" x14ac:dyDescent="0.2">
      <c r="A107" s="8">
        <v>17080</v>
      </c>
      <c r="B107" s="8" t="s">
        <v>152</v>
      </c>
      <c r="C107" s="8" t="s">
        <v>67</v>
      </c>
      <c r="D107" s="29" t="s">
        <v>1</v>
      </c>
      <c r="E107" s="226"/>
      <c r="F107" s="1">
        <v>0</v>
      </c>
      <c r="G107" s="1">
        <v>0</v>
      </c>
      <c r="H107" s="1">
        <v>0</v>
      </c>
      <c r="I107" s="226">
        <v>1</v>
      </c>
      <c r="J107" s="1">
        <v>1666.39</v>
      </c>
      <c r="K107" s="1">
        <v>1645.0700000000002</v>
      </c>
      <c r="L107" s="1">
        <v>21.32</v>
      </c>
      <c r="M107" s="513"/>
      <c r="N107" s="1">
        <v>385</v>
      </c>
      <c r="O107" s="1">
        <v>385</v>
      </c>
      <c r="P107" s="1">
        <v>0</v>
      </c>
      <c r="Q107" s="226"/>
      <c r="R107" s="1">
        <v>0</v>
      </c>
      <c r="S107" s="1">
        <v>0</v>
      </c>
      <c r="T107" s="1">
        <v>0</v>
      </c>
      <c r="U107" s="226"/>
      <c r="V107" s="1">
        <f t="shared" si="3"/>
        <v>2051.3900000000003</v>
      </c>
      <c r="W107" s="1">
        <f t="shared" si="3"/>
        <v>2030.0700000000002</v>
      </c>
      <c r="X107" s="1">
        <f t="shared" si="3"/>
        <v>21.32</v>
      </c>
      <c r="Z107" s="1">
        <f t="shared" si="2"/>
        <v>1666.39</v>
      </c>
      <c r="AA107" s="1">
        <f t="shared" si="2"/>
        <v>1645.0700000000002</v>
      </c>
      <c r="AB107" s="1">
        <f t="shared" si="2"/>
        <v>21.32</v>
      </c>
      <c r="AD107" s="227">
        <v>350</v>
      </c>
      <c r="AE107" s="227">
        <v>350</v>
      </c>
      <c r="AF107" s="227">
        <v>0</v>
      </c>
      <c r="AG107" s="226"/>
      <c r="AH107" s="514"/>
    </row>
    <row r="108" spans="1:34" x14ac:dyDescent="0.2">
      <c r="A108" s="8">
        <v>17100</v>
      </c>
      <c r="B108" s="8" t="s">
        <v>153</v>
      </c>
      <c r="C108" s="8"/>
      <c r="D108" s="29" t="s">
        <v>2</v>
      </c>
      <c r="E108" s="226">
        <v>1</v>
      </c>
      <c r="F108" s="1">
        <v>2497.44</v>
      </c>
      <c r="G108" s="1">
        <v>2248.44</v>
      </c>
      <c r="H108" s="1">
        <v>249</v>
      </c>
      <c r="I108" s="226"/>
      <c r="J108" s="1">
        <v>0</v>
      </c>
      <c r="K108" s="1">
        <v>0</v>
      </c>
      <c r="L108" s="1">
        <v>0</v>
      </c>
      <c r="M108" s="513"/>
      <c r="N108" s="1">
        <v>0</v>
      </c>
      <c r="O108" s="1">
        <v>0</v>
      </c>
      <c r="P108" s="1">
        <v>0</v>
      </c>
      <c r="Q108" s="226"/>
      <c r="R108" s="1">
        <v>0</v>
      </c>
      <c r="S108" s="1">
        <v>0</v>
      </c>
      <c r="T108" s="1">
        <v>0</v>
      </c>
      <c r="U108" s="226"/>
      <c r="V108" s="1">
        <f t="shared" si="3"/>
        <v>2497.44</v>
      </c>
      <c r="W108" s="1">
        <f t="shared" si="3"/>
        <v>2248.44</v>
      </c>
      <c r="X108" s="1">
        <f t="shared" si="3"/>
        <v>249</v>
      </c>
      <c r="Z108" s="1">
        <f t="shared" si="2"/>
        <v>2497.44</v>
      </c>
      <c r="AA108" s="1">
        <f t="shared" si="2"/>
        <v>2248.44</v>
      </c>
      <c r="AB108" s="1">
        <f t="shared" si="2"/>
        <v>249</v>
      </c>
      <c r="AD108" s="227">
        <v>335.78</v>
      </c>
      <c r="AE108" s="227">
        <v>335.78</v>
      </c>
      <c r="AF108" s="227">
        <v>0</v>
      </c>
      <c r="AG108" s="226"/>
      <c r="AH108" s="514"/>
    </row>
    <row r="109" spans="1:34" x14ac:dyDescent="0.2">
      <c r="A109" s="8">
        <v>17150</v>
      </c>
      <c r="B109" s="8" t="s">
        <v>154</v>
      </c>
      <c r="C109" s="8" t="s">
        <v>17</v>
      </c>
      <c r="D109" s="29" t="s">
        <v>2</v>
      </c>
      <c r="E109" s="226">
        <v>1</v>
      </c>
      <c r="F109" s="1">
        <v>29897</v>
      </c>
      <c r="G109" s="1">
        <v>29897</v>
      </c>
      <c r="H109" s="1">
        <v>0</v>
      </c>
      <c r="I109" s="226"/>
      <c r="J109" s="1">
        <v>0</v>
      </c>
      <c r="K109" s="1">
        <v>0</v>
      </c>
      <c r="L109" s="1">
        <v>0</v>
      </c>
      <c r="M109" s="513"/>
      <c r="N109" s="1">
        <v>0</v>
      </c>
      <c r="O109" s="1">
        <v>0</v>
      </c>
      <c r="P109" s="1">
        <v>0</v>
      </c>
      <c r="Q109" s="226"/>
      <c r="R109" s="1">
        <v>0</v>
      </c>
      <c r="S109" s="1">
        <v>0</v>
      </c>
      <c r="T109" s="1">
        <v>0</v>
      </c>
      <c r="U109" s="226"/>
      <c r="V109" s="1">
        <f t="shared" si="3"/>
        <v>29897</v>
      </c>
      <c r="W109" s="1">
        <f t="shared" si="3"/>
        <v>29897</v>
      </c>
      <c r="X109" s="1">
        <f t="shared" si="3"/>
        <v>0</v>
      </c>
      <c r="Z109" s="1">
        <f t="shared" si="2"/>
        <v>29897</v>
      </c>
      <c r="AA109" s="1">
        <f t="shared" si="2"/>
        <v>29897</v>
      </c>
      <c r="AB109" s="1">
        <f t="shared" si="2"/>
        <v>0</v>
      </c>
      <c r="AD109" s="227">
        <v>2004</v>
      </c>
      <c r="AE109" s="227">
        <v>2004</v>
      </c>
      <c r="AF109" s="227">
        <v>0</v>
      </c>
      <c r="AG109" s="226"/>
      <c r="AH109" s="514"/>
    </row>
    <row r="110" spans="1:34" x14ac:dyDescent="0.2">
      <c r="A110" s="8">
        <v>17200</v>
      </c>
      <c r="B110" s="8" t="s">
        <v>61</v>
      </c>
      <c r="C110" s="8" t="s">
        <v>17</v>
      </c>
      <c r="D110" s="29" t="s">
        <v>2</v>
      </c>
      <c r="E110" s="226">
        <v>2</v>
      </c>
      <c r="F110" s="1">
        <v>1758</v>
      </c>
      <c r="G110" s="1">
        <v>1658</v>
      </c>
      <c r="H110" s="1">
        <v>100</v>
      </c>
      <c r="I110" s="226">
        <v>2</v>
      </c>
      <c r="J110" s="1">
        <v>521</v>
      </c>
      <c r="K110" s="1">
        <v>521</v>
      </c>
      <c r="L110" s="1">
        <v>0</v>
      </c>
      <c r="M110" s="513"/>
      <c r="N110" s="1">
        <v>0</v>
      </c>
      <c r="O110" s="1">
        <v>0</v>
      </c>
      <c r="P110" s="1">
        <v>0</v>
      </c>
      <c r="Q110" s="226"/>
      <c r="R110" s="1">
        <v>0</v>
      </c>
      <c r="S110" s="1">
        <v>0</v>
      </c>
      <c r="T110" s="1">
        <v>0</v>
      </c>
      <c r="U110" s="226"/>
      <c r="V110" s="1">
        <f t="shared" si="3"/>
        <v>2279</v>
      </c>
      <c r="W110" s="1">
        <f t="shared" si="3"/>
        <v>2179</v>
      </c>
      <c r="X110" s="1">
        <f t="shared" si="3"/>
        <v>100</v>
      </c>
      <c r="Z110" s="1">
        <f t="shared" si="2"/>
        <v>2279</v>
      </c>
      <c r="AA110" s="1">
        <f t="shared" si="2"/>
        <v>2179</v>
      </c>
      <c r="AB110" s="1">
        <f t="shared" si="2"/>
        <v>100</v>
      </c>
      <c r="AD110" s="227">
        <v>2780</v>
      </c>
      <c r="AE110" s="227">
        <v>2780</v>
      </c>
      <c r="AF110" s="227">
        <v>0</v>
      </c>
      <c r="AG110" s="226"/>
      <c r="AH110" s="514"/>
    </row>
    <row r="111" spans="1:34" x14ac:dyDescent="0.2">
      <c r="A111" s="8">
        <v>17310</v>
      </c>
      <c r="B111" s="8" t="s">
        <v>155</v>
      </c>
      <c r="C111" s="8" t="s">
        <v>16</v>
      </c>
      <c r="D111" s="29" t="s">
        <v>1</v>
      </c>
      <c r="E111" s="226">
        <v>1</v>
      </c>
      <c r="F111" s="1">
        <v>4849.8</v>
      </c>
      <c r="G111" s="1">
        <v>4846.2</v>
      </c>
      <c r="H111" s="1">
        <v>3.6</v>
      </c>
      <c r="I111" s="226"/>
      <c r="J111" s="1">
        <v>0</v>
      </c>
      <c r="K111" s="1">
        <v>0</v>
      </c>
      <c r="L111" s="1">
        <v>0</v>
      </c>
      <c r="M111" s="513"/>
      <c r="N111" s="1">
        <v>3071</v>
      </c>
      <c r="O111" s="1">
        <v>3071</v>
      </c>
      <c r="P111" s="1">
        <v>0</v>
      </c>
      <c r="Q111" s="226"/>
      <c r="R111" s="1">
        <v>0</v>
      </c>
      <c r="S111" s="1">
        <v>0</v>
      </c>
      <c r="T111" s="1">
        <v>0</v>
      </c>
      <c r="U111" s="226"/>
      <c r="V111" s="1">
        <f t="shared" si="3"/>
        <v>7920.8</v>
      </c>
      <c r="W111" s="1">
        <f t="shared" si="3"/>
        <v>7917.2</v>
      </c>
      <c r="X111" s="1">
        <f t="shared" si="3"/>
        <v>3.6</v>
      </c>
      <c r="Z111" s="1">
        <f t="shared" si="2"/>
        <v>4849.8</v>
      </c>
      <c r="AA111" s="1">
        <f t="shared" si="2"/>
        <v>4846.2</v>
      </c>
      <c r="AB111" s="1">
        <f t="shared" si="2"/>
        <v>3.6</v>
      </c>
      <c r="AD111" s="227">
        <v>0</v>
      </c>
      <c r="AE111" s="227">
        <v>0</v>
      </c>
      <c r="AF111" s="227">
        <v>0</v>
      </c>
      <c r="AG111" s="226"/>
      <c r="AH111" s="514"/>
    </row>
    <row r="112" spans="1:34" x14ac:dyDescent="0.2">
      <c r="A112" s="8">
        <v>17350</v>
      </c>
      <c r="B112" s="8" t="s">
        <v>156</v>
      </c>
      <c r="C112" s="8" t="s">
        <v>21</v>
      </c>
      <c r="D112" s="29" t="s">
        <v>1</v>
      </c>
      <c r="E112" s="226"/>
      <c r="F112" s="1">
        <v>0</v>
      </c>
      <c r="G112" s="1">
        <v>0</v>
      </c>
      <c r="H112" s="1">
        <v>0</v>
      </c>
      <c r="I112" s="226"/>
      <c r="J112" s="1">
        <v>0</v>
      </c>
      <c r="K112" s="1">
        <v>0</v>
      </c>
      <c r="L112" s="1">
        <v>0</v>
      </c>
      <c r="M112" s="513"/>
      <c r="N112" s="1">
        <v>0</v>
      </c>
      <c r="O112" s="1">
        <v>0</v>
      </c>
      <c r="P112" s="1">
        <v>0</v>
      </c>
      <c r="Q112" s="226"/>
      <c r="R112" s="1">
        <v>5</v>
      </c>
      <c r="S112" s="1">
        <v>0</v>
      </c>
      <c r="T112" s="1">
        <v>5</v>
      </c>
      <c r="U112" s="226"/>
      <c r="V112" s="1">
        <f t="shared" si="3"/>
        <v>5</v>
      </c>
      <c r="W112" s="1">
        <f t="shared" si="3"/>
        <v>0</v>
      </c>
      <c r="X112" s="1">
        <f t="shared" si="3"/>
        <v>5</v>
      </c>
      <c r="Z112" s="1">
        <f t="shared" si="2"/>
        <v>0</v>
      </c>
      <c r="AA112" s="1">
        <f t="shared" si="2"/>
        <v>0</v>
      </c>
      <c r="AB112" s="1">
        <f t="shared" si="2"/>
        <v>0</v>
      </c>
      <c r="AD112" s="227">
        <v>0</v>
      </c>
      <c r="AE112" s="227">
        <v>0</v>
      </c>
      <c r="AF112" s="227">
        <v>0</v>
      </c>
      <c r="AG112" s="226"/>
      <c r="AH112" s="514"/>
    </row>
    <row r="113" spans="1:34" x14ac:dyDescent="0.2">
      <c r="A113" s="8">
        <v>17400</v>
      </c>
      <c r="B113" s="8" t="s">
        <v>157</v>
      </c>
      <c r="C113" s="8" t="s">
        <v>16</v>
      </c>
      <c r="D113" s="29" t="s">
        <v>1</v>
      </c>
      <c r="E113" s="226"/>
      <c r="F113" s="1">
        <v>0</v>
      </c>
      <c r="G113" s="1">
        <v>0</v>
      </c>
      <c r="H113" s="1">
        <v>0</v>
      </c>
      <c r="I113" s="226"/>
      <c r="J113" s="1">
        <v>0</v>
      </c>
      <c r="K113" s="1">
        <v>0</v>
      </c>
      <c r="L113" s="1">
        <v>0</v>
      </c>
      <c r="M113" s="513"/>
      <c r="N113" s="1">
        <v>180</v>
      </c>
      <c r="O113" s="1">
        <v>180</v>
      </c>
      <c r="P113" s="1">
        <v>0</v>
      </c>
      <c r="Q113" s="226"/>
      <c r="R113" s="1">
        <v>0</v>
      </c>
      <c r="S113" s="1">
        <v>0</v>
      </c>
      <c r="T113" s="1">
        <v>0</v>
      </c>
      <c r="U113" s="226"/>
      <c r="V113" s="1">
        <f t="shared" si="3"/>
        <v>180</v>
      </c>
      <c r="W113" s="1">
        <f t="shared" si="3"/>
        <v>180</v>
      </c>
      <c r="X113" s="1">
        <f t="shared" si="3"/>
        <v>0</v>
      </c>
      <c r="Z113" s="1">
        <f t="shared" si="2"/>
        <v>0</v>
      </c>
      <c r="AA113" s="1">
        <f t="shared" si="2"/>
        <v>0</v>
      </c>
      <c r="AB113" s="1">
        <f t="shared" si="2"/>
        <v>0</v>
      </c>
      <c r="AD113" s="227">
        <v>15</v>
      </c>
      <c r="AE113" s="227">
        <v>15</v>
      </c>
      <c r="AF113" s="227">
        <v>0</v>
      </c>
      <c r="AG113" s="226"/>
      <c r="AH113" s="514"/>
    </row>
    <row r="114" spans="1:34" x14ac:dyDescent="0.2">
      <c r="A114" s="8">
        <v>17420</v>
      </c>
      <c r="B114" s="8" t="s">
        <v>158</v>
      </c>
      <c r="C114" s="8" t="s">
        <v>18</v>
      </c>
      <c r="D114" s="29" t="s">
        <v>2</v>
      </c>
      <c r="E114" s="226">
        <v>1</v>
      </c>
      <c r="F114" s="1">
        <v>18700.16</v>
      </c>
      <c r="G114" s="1">
        <v>18604.79</v>
      </c>
      <c r="H114" s="1">
        <v>95.37</v>
      </c>
      <c r="I114" s="226"/>
      <c r="J114" s="1">
        <v>0</v>
      </c>
      <c r="K114" s="1">
        <v>0</v>
      </c>
      <c r="L114" s="1">
        <v>0</v>
      </c>
      <c r="M114" s="513"/>
      <c r="N114" s="1">
        <v>0</v>
      </c>
      <c r="O114" s="1">
        <v>0</v>
      </c>
      <c r="P114" s="1">
        <v>0</v>
      </c>
      <c r="Q114" s="226"/>
      <c r="R114" s="1">
        <v>701.43</v>
      </c>
      <c r="S114" s="1">
        <v>701.43</v>
      </c>
      <c r="T114" s="1">
        <v>0</v>
      </c>
      <c r="U114" s="226"/>
      <c r="V114" s="1">
        <f t="shared" si="3"/>
        <v>19401.59</v>
      </c>
      <c r="W114" s="1">
        <f t="shared" si="3"/>
        <v>19306.22</v>
      </c>
      <c r="X114" s="1">
        <f t="shared" si="3"/>
        <v>95.37</v>
      </c>
      <c r="Z114" s="1">
        <f t="shared" si="2"/>
        <v>18700.16</v>
      </c>
      <c r="AA114" s="1">
        <f t="shared" si="2"/>
        <v>18604.79</v>
      </c>
      <c r="AB114" s="1">
        <f t="shared" si="2"/>
        <v>95.37</v>
      </c>
      <c r="AD114" s="227">
        <v>0</v>
      </c>
      <c r="AE114" s="227">
        <v>0</v>
      </c>
      <c r="AF114" s="227">
        <v>0</v>
      </c>
      <c r="AG114" s="226"/>
      <c r="AH114" s="514"/>
    </row>
    <row r="115" spans="1:34" x14ac:dyDescent="0.2">
      <c r="A115" s="8">
        <v>17550</v>
      </c>
      <c r="B115" s="8" t="s">
        <v>159</v>
      </c>
      <c r="C115" s="8" t="s">
        <v>19</v>
      </c>
      <c r="D115" s="29" t="s">
        <v>3</v>
      </c>
      <c r="E115" s="226"/>
      <c r="F115" s="1">
        <v>0</v>
      </c>
      <c r="G115" s="1">
        <v>0</v>
      </c>
      <c r="H115" s="1">
        <v>0</v>
      </c>
      <c r="I115" s="226">
        <v>1</v>
      </c>
      <c r="J115" s="1">
        <v>12024</v>
      </c>
      <c r="K115" s="1">
        <v>11904</v>
      </c>
      <c r="L115" s="1">
        <v>120</v>
      </c>
      <c r="M115" s="513"/>
      <c r="N115" s="1">
        <v>2204</v>
      </c>
      <c r="O115" s="1">
        <v>2204</v>
      </c>
      <c r="P115" s="1">
        <v>0</v>
      </c>
      <c r="Q115" s="226"/>
      <c r="R115" s="1">
        <v>0</v>
      </c>
      <c r="S115" s="1">
        <v>0</v>
      </c>
      <c r="T115" s="1">
        <v>0</v>
      </c>
      <c r="U115" s="226"/>
      <c r="V115" s="1">
        <f t="shared" si="3"/>
        <v>14228</v>
      </c>
      <c r="W115" s="1">
        <f t="shared" si="3"/>
        <v>14108</v>
      </c>
      <c r="X115" s="1">
        <f t="shared" si="3"/>
        <v>120</v>
      </c>
      <c r="Z115" s="1">
        <f t="shared" si="2"/>
        <v>12024</v>
      </c>
      <c r="AA115" s="1">
        <f t="shared" si="2"/>
        <v>11904</v>
      </c>
      <c r="AB115" s="1">
        <f t="shared" si="2"/>
        <v>120</v>
      </c>
      <c r="AD115" s="227">
        <v>0</v>
      </c>
      <c r="AE115" s="227">
        <v>0</v>
      </c>
      <c r="AF115" s="227">
        <v>0</v>
      </c>
      <c r="AG115" s="226"/>
      <c r="AH115" s="514"/>
    </row>
    <row r="116" spans="1:34" x14ac:dyDescent="0.2">
      <c r="A116" s="8">
        <v>17620</v>
      </c>
      <c r="B116" s="8" t="s">
        <v>160</v>
      </c>
      <c r="C116" s="8" t="s">
        <v>23</v>
      </c>
      <c r="D116" s="29" t="s">
        <v>3</v>
      </c>
      <c r="E116" s="226"/>
      <c r="F116" s="1">
        <v>0</v>
      </c>
      <c r="G116" s="1">
        <v>0</v>
      </c>
      <c r="H116" s="1">
        <v>0</v>
      </c>
      <c r="I116" s="226">
        <v>1</v>
      </c>
      <c r="J116" s="1">
        <v>1756</v>
      </c>
      <c r="K116" s="1">
        <v>1712</v>
      </c>
      <c r="L116" s="1">
        <v>44</v>
      </c>
      <c r="M116" s="513"/>
      <c r="N116" s="1">
        <v>0</v>
      </c>
      <c r="O116" s="1">
        <v>0</v>
      </c>
      <c r="P116" s="1">
        <v>0</v>
      </c>
      <c r="Q116" s="226"/>
      <c r="R116" s="1">
        <v>0</v>
      </c>
      <c r="S116" s="1">
        <v>0</v>
      </c>
      <c r="T116" s="1">
        <v>0</v>
      </c>
      <c r="U116" s="226"/>
      <c r="V116" s="1">
        <f t="shared" si="3"/>
        <v>1756</v>
      </c>
      <c r="W116" s="1">
        <f t="shared" si="3"/>
        <v>1712</v>
      </c>
      <c r="X116" s="1">
        <f t="shared" si="3"/>
        <v>44</v>
      </c>
      <c r="Z116" s="1">
        <f t="shared" si="2"/>
        <v>1756</v>
      </c>
      <c r="AA116" s="1">
        <f t="shared" si="2"/>
        <v>1712</v>
      </c>
      <c r="AB116" s="1">
        <f t="shared" si="2"/>
        <v>44</v>
      </c>
      <c r="AD116" s="227">
        <v>0</v>
      </c>
      <c r="AE116" s="227">
        <v>0</v>
      </c>
      <c r="AF116" s="227">
        <v>0</v>
      </c>
      <c r="AG116" s="226"/>
      <c r="AH116" s="514"/>
    </row>
    <row r="117" spans="1:34" x14ac:dyDescent="0.2">
      <c r="A117" s="8">
        <v>17640</v>
      </c>
      <c r="B117" s="8" t="s">
        <v>161</v>
      </c>
      <c r="C117" s="8" t="s">
        <v>67</v>
      </c>
      <c r="D117" s="29" t="s">
        <v>1</v>
      </c>
      <c r="E117" s="226">
        <v>1</v>
      </c>
      <c r="F117" s="1">
        <v>260</v>
      </c>
      <c r="G117" s="1">
        <v>260</v>
      </c>
      <c r="H117" s="1">
        <v>0</v>
      </c>
      <c r="I117" s="226"/>
      <c r="J117" s="1">
        <v>0</v>
      </c>
      <c r="K117" s="1">
        <v>0</v>
      </c>
      <c r="L117" s="1">
        <v>0</v>
      </c>
      <c r="M117" s="513"/>
      <c r="N117" s="1">
        <v>0</v>
      </c>
      <c r="O117" s="1">
        <v>0</v>
      </c>
      <c r="P117" s="1">
        <v>0</v>
      </c>
      <c r="Q117" s="226"/>
      <c r="R117" s="1">
        <v>0</v>
      </c>
      <c r="S117" s="1">
        <v>0</v>
      </c>
      <c r="T117" s="1">
        <v>0</v>
      </c>
      <c r="U117" s="226"/>
      <c r="V117" s="1">
        <f t="shared" si="3"/>
        <v>260</v>
      </c>
      <c r="W117" s="1">
        <f t="shared" si="3"/>
        <v>260</v>
      </c>
      <c r="X117" s="1">
        <f t="shared" si="3"/>
        <v>0</v>
      </c>
      <c r="Z117" s="1">
        <f t="shared" si="2"/>
        <v>260</v>
      </c>
      <c r="AA117" s="1">
        <f t="shared" si="2"/>
        <v>260</v>
      </c>
      <c r="AB117" s="1">
        <f t="shared" si="2"/>
        <v>0</v>
      </c>
      <c r="AD117" s="227">
        <v>0</v>
      </c>
      <c r="AE117" s="227">
        <v>0</v>
      </c>
      <c r="AF117" s="227">
        <v>0</v>
      </c>
      <c r="AG117" s="226"/>
      <c r="AH117" s="514"/>
    </row>
    <row r="118" spans="1:34" x14ac:dyDescent="0.2">
      <c r="A118" s="8">
        <v>17650</v>
      </c>
      <c r="B118" s="8" t="s">
        <v>162</v>
      </c>
      <c r="C118" s="8" t="s">
        <v>16</v>
      </c>
      <c r="D118" s="29" t="s">
        <v>1</v>
      </c>
      <c r="E118" s="226">
        <v>1</v>
      </c>
      <c r="F118" s="1">
        <v>48</v>
      </c>
      <c r="G118" s="1">
        <v>48</v>
      </c>
      <c r="H118" s="1">
        <v>0</v>
      </c>
      <c r="I118" s="226"/>
      <c r="J118" s="1">
        <v>0</v>
      </c>
      <c r="K118" s="1">
        <v>0</v>
      </c>
      <c r="L118" s="1">
        <v>0</v>
      </c>
      <c r="M118" s="513"/>
      <c r="N118" s="1">
        <v>1100</v>
      </c>
      <c r="O118" s="1">
        <v>1100</v>
      </c>
      <c r="P118" s="1">
        <v>0</v>
      </c>
      <c r="Q118" s="226"/>
      <c r="R118" s="1">
        <v>0</v>
      </c>
      <c r="S118" s="1">
        <v>0</v>
      </c>
      <c r="T118" s="1">
        <v>0</v>
      </c>
      <c r="U118" s="226"/>
      <c r="V118" s="1">
        <f t="shared" si="3"/>
        <v>1148</v>
      </c>
      <c r="W118" s="1">
        <f t="shared" si="3"/>
        <v>1148</v>
      </c>
      <c r="X118" s="1">
        <f t="shared" si="3"/>
        <v>0</v>
      </c>
      <c r="Z118" s="1">
        <f t="shared" si="2"/>
        <v>48</v>
      </c>
      <c r="AA118" s="1">
        <f t="shared" si="2"/>
        <v>48</v>
      </c>
      <c r="AB118" s="1">
        <f t="shared" si="2"/>
        <v>0</v>
      </c>
      <c r="AD118" s="227">
        <v>0</v>
      </c>
      <c r="AE118" s="227">
        <v>0</v>
      </c>
      <c r="AF118" s="227">
        <v>0</v>
      </c>
      <c r="AG118" s="226"/>
      <c r="AH118" s="514"/>
    </row>
    <row r="119" spans="1:34" x14ac:dyDescent="0.2">
      <c r="A119" s="8">
        <v>17750</v>
      </c>
      <c r="B119" s="8" t="s">
        <v>163</v>
      </c>
      <c r="C119" s="8" t="s">
        <v>21</v>
      </c>
      <c r="D119" s="29" t="s">
        <v>1</v>
      </c>
      <c r="E119" s="226"/>
      <c r="F119" s="1">
        <v>0</v>
      </c>
      <c r="G119" s="1">
        <v>0</v>
      </c>
      <c r="H119" s="1">
        <v>0</v>
      </c>
      <c r="I119" s="226">
        <v>1</v>
      </c>
      <c r="J119" s="1">
        <v>13088</v>
      </c>
      <c r="K119" s="1">
        <v>14550</v>
      </c>
      <c r="L119" s="1">
        <v>-1462</v>
      </c>
      <c r="M119" s="513"/>
      <c r="N119" s="1">
        <v>1641</v>
      </c>
      <c r="O119" s="1">
        <v>1378</v>
      </c>
      <c r="P119" s="1">
        <v>263</v>
      </c>
      <c r="Q119" s="226"/>
      <c r="R119" s="1">
        <v>0</v>
      </c>
      <c r="S119" s="1">
        <v>0</v>
      </c>
      <c r="T119" s="1">
        <v>0</v>
      </c>
      <c r="U119" s="226"/>
      <c r="V119" s="1">
        <f t="shared" si="3"/>
        <v>14729</v>
      </c>
      <c r="W119" s="1">
        <f t="shared" si="3"/>
        <v>15928</v>
      </c>
      <c r="X119" s="1">
        <f t="shared" si="3"/>
        <v>-1199</v>
      </c>
      <c r="Z119" s="1">
        <f t="shared" si="2"/>
        <v>13088</v>
      </c>
      <c r="AA119" s="1">
        <f t="shared" si="2"/>
        <v>14550</v>
      </c>
      <c r="AB119" s="1">
        <f t="shared" si="2"/>
        <v>-1462</v>
      </c>
      <c r="AD119" s="227">
        <v>1149.58</v>
      </c>
      <c r="AE119" s="227">
        <v>1149.58</v>
      </c>
      <c r="AF119" s="227">
        <v>0</v>
      </c>
      <c r="AG119" s="226"/>
      <c r="AH119" s="514"/>
    </row>
    <row r="120" spans="1:34" x14ac:dyDescent="0.2">
      <c r="A120" s="8">
        <v>17850</v>
      </c>
      <c r="B120" s="8" t="s">
        <v>164</v>
      </c>
      <c r="C120" s="8" t="s">
        <v>16</v>
      </c>
      <c r="D120" s="29" t="s">
        <v>1</v>
      </c>
      <c r="E120" s="226">
        <v>1</v>
      </c>
      <c r="F120" s="1">
        <v>161.15</v>
      </c>
      <c r="G120" s="1">
        <v>161.15</v>
      </c>
      <c r="H120" s="1">
        <v>0</v>
      </c>
      <c r="I120" s="226"/>
      <c r="J120" s="1">
        <v>0</v>
      </c>
      <c r="K120" s="1">
        <v>0</v>
      </c>
      <c r="L120" s="1">
        <v>0</v>
      </c>
      <c r="M120" s="513"/>
      <c r="N120" s="1">
        <v>0</v>
      </c>
      <c r="O120" s="1">
        <v>0</v>
      </c>
      <c r="P120" s="1">
        <v>0</v>
      </c>
      <c r="Q120" s="226"/>
      <c r="R120" s="1">
        <v>0</v>
      </c>
      <c r="S120" s="1">
        <v>0</v>
      </c>
      <c r="T120" s="1">
        <v>0</v>
      </c>
      <c r="U120" s="226"/>
      <c r="V120" s="1">
        <f t="shared" si="3"/>
        <v>161.15</v>
      </c>
      <c r="W120" s="1">
        <f t="shared" si="3"/>
        <v>161.15</v>
      </c>
      <c r="X120" s="1">
        <f t="shared" si="3"/>
        <v>0</v>
      </c>
      <c r="Z120" s="1">
        <f t="shared" si="2"/>
        <v>161.15</v>
      </c>
      <c r="AA120" s="1">
        <f t="shared" si="2"/>
        <v>161.15</v>
      </c>
      <c r="AB120" s="1">
        <f t="shared" si="2"/>
        <v>0</v>
      </c>
      <c r="AD120" s="227">
        <v>0</v>
      </c>
      <c r="AE120" s="227">
        <v>0</v>
      </c>
      <c r="AF120" s="227">
        <v>0</v>
      </c>
      <c r="AG120" s="226"/>
      <c r="AH120" s="514"/>
    </row>
    <row r="121" spans="1:34" x14ac:dyDescent="0.2">
      <c r="A121" s="8">
        <v>17900</v>
      </c>
      <c r="B121" s="8" t="s">
        <v>165</v>
      </c>
      <c r="C121" s="8" t="s">
        <v>38</v>
      </c>
      <c r="D121" s="29" t="s">
        <v>1</v>
      </c>
      <c r="E121" s="226"/>
      <c r="F121" s="1">
        <v>0</v>
      </c>
      <c r="G121" s="1">
        <v>0</v>
      </c>
      <c r="H121" s="1">
        <v>0</v>
      </c>
      <c r="I121" s="226"/>
      <c r="J121" s="1">
        <v>0</v>
      </c>
      <c r="K121" s="1">
        <v>0</v>
      </c>
      <c r="L121" s="1">
        <v>0</v>
      </c>
      <c r="M121" s="513"/>
      <c r="N121" s="1">
        <v>0</v>
      </c>
      <c r="O121" s="1">
        <v>0</v>
      </c>
      <c r="P121" s="1">
        <v>0</v>
      </c>
      <c r="Q121" s="226"/>
      <c r="R121" s="1">
        <v>0</v>
      </c>
      <c r="S121" s="1">
        <v>0</v>
      </c>
      <c r="T121" s="1">
        <v>0</v>
      </c>
      <c r="U121" s="226"/>
      <c r="V121" s="1">
        <f t="shared" si="3"/>
        <v>0</v>
      </c>
      <c r="W121" s="1">
        <f t="shared" si="3"/>
        <v>0</v>
      </c>
      <c r="X121" s="1">
        <f t="shared" si="3"/>
        <v>0</v>
      </c>
      <c r="Z121" s="1">
        <f t="shared" si="2"/>
        <v>0</v>
      </c>
      <c r="AA121" s="1">
        <f t="shared" si="2"/>
        <v>0</v>
      </c>
      <c r="AB121" s="1">
        <f t="shared" si="2"/>
        <v>0</v>
      </c>
      <c r="AD121" s="227">
        <v>0</v>
      </c>
      <c r="AE121" s="227">
        <v>0</v>
      </c>
      <c r="AF121" s="227">
        <v>0</v>
      </c>
      <c r="AG121" s="226"/>
      <c r="AH121" s="514"/>
    </row>
    <row r="122" spans="1:34" x14ac:dyDescent="0.2">
      <c r="A122" s="8">
        <v>17950</v>
      </c>
      <c r="B122" s="8" t="s">
        <v>166</v>
      </c>
      <c r="C122" s="8" t="s">
        <v>38</v>
      </c>
      <c r="D122" s="29" t="s">
        <v>1</v>
      </c>
      <c r="E122" s="226"/>
      <c r="F122" s="1">
        <v>0</v>
      </c>
      <c r="G122" s="1">
        <v>0</v>
      </c>
      <c r="H122" s="1">
        <v>0</v>
      </c>
      <c r="I122" s="226"/>
      <c r="J122" s="1">
        <v>0</v>
      </c>
      <c r="K122" s="1">
        <v>0</v>
      </c>
      <c r="L122" s="1">
        <v>0</v>
      </c>
      <c r="M122" s="513"/>
      <c r="N122" s="1">
        <v>400</v>
      </c>
      <c r="O122" s="1">
        <v>0</v>
      </c>
      <c r="P122" s="1">
        <v>400</v>
      </c>
      <c r="Q122" s="226"/>
      <c r="R122" s="1">
        <v>0</v>
      </c>
      <c r="S122" s="1">
        <v>0</v>
      </c>
      <c r="T122" s="1">
        <v>0</v>
      </c>
      <c r="U122" s="226"/>
      <c r="V122" s="1">
        <f t="shared" si="3"/>
        <v>400</v>
      </c>
      <c r="W122" s="1">
        <f t="shared" si="3"/>
        <v>0</v>
      </c>
      <c r="X122" s="1">
        <f t="shared" si="3"/>
        <v>400</v>
      </c>
      <c r="Z122" s="1">
        <f t="shared" si="2"/>
        <v>0</v>
      </c>
      <c r="AA122" s="1">
        <f t="shared" si="2"/>
        <v>0</v>
      </c>
      <c r="AB122" s="1">
        <f t="shared" si="2"/>
        <v>0</v>
      </c>
      <c r="AD122" s="227">
        <v>0</v>
      </c>
      <c r="AE122" s="227">
        <v>0</v>
      </c>
      <c r="AF122" s="227">
        <v>0</v>
      </c>
      <c r="AG122" s="226"/>
      <c r="AH122" s="514"/>
    </row>
    <row r="123" spans="1:34" x14ac:dyDescent="0.2">
      <c r="A123" s="8">
        <v>18020</v>
      </c>
      <c r="B123" s="8" t="s">
        <v>167</v>
      </c>
      <c r="C123" s="8" t="s">
        <v>38</v>
      </c>
      <c r="D123" s="29" t="s">
        <v>1</v>
      </c>
      <c r="E123" s="226"/>
      <c r="F123" s="1">
        <v>0</v>
      </c>
      <c r="G123" s="1">
        <v>0</v>
      </c>
      <c r="H123" s="1">
        <v>0</v>
      </c>
      <c r="I123" s="226"/>
      <c r="J123" s="1">
        <v>0</v>
      </c>
      <c r="K123" s="1">
        <v>0</v>
      </c>
      <c r="L123" s="1">
        <v>0</v>
      </c>
      <c r="M123" s="513"/>
      <c r="N123" s="1">
        <v>0</v>
      </c>
      <c r="O123" s="1">
        <v>0</v>
      </c>
      <c r="P123" s="1">
        <v>0</v>
      </c>
      <c r="Q123" s="226"/>
      <c r="R123" s="1">
        <v>0</v>
      </c>
      <c r="S123" s="1">
        <v>0</v>
      </c>
      <c r="T123" s="1">
        <v>0</v>
      </c>
      <c r="U123" s="226"/>
      <c r="V123" s="1">
        <f t="shared" si="3"/>
        <v>0</v>
      </c>
      <c r="W123" s="1">
        <f t="shared" si="3"/>
        <v>0</v>
      </c>
      <c r="X123" s="1">
        <f t="shared" si="3"/>
        <v>0</v>
      </c>
      <c r="Z123" s="1">
        <f t="shared" si="2"/>
        <v>0</v>
      </c>
      <c r="AA123" s="1">
        <f t="shared" si="2"/>
        <v>0</v>
      </c>
      <c r="AB123" s="1">
        <f t="shared" si="2"/>
        <v>0</v>
      </c>
      <c r="AD123" s="227">
        <v>0</v>
      </c>
      <c r="AE123" s="227">
        <v>0</v>
      </c>
      <c r="AF123" s="227">
        <v>0</v>
      </c>
      <c r="AG123" s="226"/>
      <c r="AH123" s="514"/>
    </row>
    <row r="124" spans="1:34" x14ac:dyDescent="0.2">
      <c r="A124" s="8">
        <v>18050</v>
      </c>
      <c r="B124" s="8" t="s">
        <v>62</v>
      </c>
      <c r="C124" s="8" t="s">
        <v>17</v>
      </c>
      <c r="D124" s="29" t="s">
        <v>2</v>
      </c>
      <c r="E124" s="226">
        <v>1</v>
      </c>
      <c r="F124" s="1">
        <v>2413</v>
      </c>
      <c r="G124" s="1">
        <v>2413</v>
      </c>
      <c r="H124" s="1">
        <v>0</v>
      </c>
      <c r="I124" s="226"/>
      <c r="J124" s="1">
        <v>0</v>
      </c>
      <c r="K124" s="1">
        <v>0</v>
      </c>
      <c r="L124" s="1">
        <v>0</v>
      </c>
      <c r="M124" s="513"/>
      <c r="N124" s="1">
        <v>0</v>
      </c>
      <c r="O124" s="1">
        <v>0</v>
      </c>
      <c r="P124" s="1">
        <v>0</v>
      </c>
      <c r="Q124" s="226"/>
      <c r="R124" s="1">
        <v>0</v>
      </c>
      <c r="S124" s="1">
        <v>0</v>
      </c>
      <c r="T124" s="1">
        <v>0</v>
      </c>
      <c r="U124" s="226"/>
      <c r="V124" s="1">
        <f t="shared" si="3"/>
        <v>2413</v>
      </c>
      <c r="W124" s="1">
        <f t="shared" si="3"/>
        <v>2413</v>
      </c>
      <c r="X124" s="1">
        <f t="shared" si="3"/>
        <v>0</v>
      </c>
      <c r="Z124" s="1">
        <f t="shared" si="2"/>
        <v>2413</v>
      </c>
      <c r="AA124" s="1">
        <f t="shared" si="2"/>
        <v>2413</v>
      </c>
      <c r="AB124" s="1">
        <f t="shared" si="2"/>
        <v>0</v>
      </c>
      <c r="AD124" s="227">
        <v>0</v>
      </c>
      <c r="AE124" s="227">
        <v>0</v>
      </c>
      <c r="AF124" s="227">
        <v>0</v>
      </c>
      <c r="AG124" s="226"/>
      <c r="AH124" s="514"/>
    </row>
    <row r="125" spans="1:34" x14ac:dyDescent="0.2">
      <c r="A125" s="8">
        <v>18100</v>
      </c>
      <c r="B125" s="8" t="s">
        <v>168</v>
      </c>
      <c r="C125" s="8" t="s">
        <v>38</v>
      </c>
      <c r="D125" s="29" t="s">
        <v>1</v>
      </c>
      <c r="E125" s="226"/>
      <c r="F125" s="1">
        <v>0</v>
      </c>
      <c r="G125" s="1">
        <v>0</v>
      </c>
      <c r="H125" s="1">
        <v>0</v>
      </c>
      <c r="I125" s="226"/>
      <c r="J125" s="1">
        <v>0</v>
      </c>
      <c r="K125" s="1">
        <v>0</v>
      </c>
      <c r="L125" s="1">
        <v>0</v>
      </c>
      <c r="M125" s="513"/>
      <c r="N125" s="1">
        <v>295.27999999999997</v>
      </c>
      <c r="O125" s="1">
        <v>278.83</v>
      </c>
      <c r="P125" s="1">
        <v>16.45</v>
      </c>
      <c r="Q125" s="226"/>
      <c r="R125" s="1">
        <v>0</v>
      </c>
      <c r="S125" s="1">
        <v>0</v>
      </c>
      <c r="T125" s="1">
        <v>0</v>
      </c>
      <c r="U125" s="226"/>
      <c r="V125" s="1">
        <f t="shared" si="3"/>
        <v>295.27999999999997</v>
      </c>
      <c r="W125" s="1">
        <f t="shared" si="3"/>
        <v>278.83</v>
      </c>
      <c r="X125" s="1">
        <f t="shared" si="3"/>
        <v>16.45</v>
      </c>
      <c r="Z125" s="1">
        <f t="shared" si="2"/>
        <v>0</v>
      </c>
      <c r="AA125" s="1">
        <f t="shared" si="2"/>
        <v>0</v>
      </c>
      <c r="AB125" s="1">
        <f t="shared" si="2"/>
        <v>0</v>
      </c>
      <c r="AD125" s="227">
        <v>0</v>
      </c>
      <c r="AE125" s="227">
        <v>0</v>
      </c>
      <c r="AF125" s="227">
        <v>0</v>
      </c>
      <c r="AG125" s="226"/>
      <c r="AH125" s="514"/>
    </row>
    <row r="126" spans="1:34" x14ac:dyDescent="0.2">
      <c r="A126" s="8">
        <v>18200</v>
      </c>
      <c r="B126" s="8" t="s">
        <v>169</v>
      </c>
      <c r="C126" s="8" t="s">
        <v>66</v>
      </c>
      <c r="D126" s="29" t="s">
        <v>1</v>
      </c>
      <c r="E126" s="226"/>
      <c r="F126" s="1">
        <v>0</v>
      </c>
      <c r="G126" s="1">
        <v>0</v>
      </c>
      <c r="H126" s="1">
        <v>0</v>
      </c>
      <c r="I126" s="226"/>
      <c r="J126" s="1">
        <v>0</v>
      </c>
      <c r="K126" s="1">
        <v>0</v>
      </c>
      <c r="L126" s="1">
        <v>0</v>
      </c>
      <c r="M126" s="513"/>
      <c r="N126" s="1">
        <v>0</v>
      </c>
      <c r="O126" s="1">
        <v>0</v>
      </c>
      <c r="P126" s="1">
        <v>0</v>
      </c>
      <c r="Q126" s="226"/>
      <c r="R126" s="1">
        <v>0</v>
      </c>
      <c r="S126" s="1">
        <v>0</v>
      </c>
      <c r="T126" s="1">
        <v>0</v>
      </c>
      <c r="U126" s="226"/>
      <c r="V126" s="1">
        <f t="shared" si="3"/>
        <v>0</v>
      </c>
      <c r="W126" s="1">
        <f t="shared" si="3"/>
        <v>0</v>
      </c>
      <c r="X126" s="1">
        <f t="shared" si="3"/>
        <v>0</v>
      </c>
      <c r="Z126" s="1">
        <f t="shared" si="2"/>
        <v>0</v>
      </c>
      <c r="AA126" s="1">
        <f t="shared" si="2"/>
        <v>0</v>
      </c>
      <c r="AB126" s="1">
        <f t="shared" si="2"/>
        <v>0</v>
      </c>
      <c r="AD126" s="227">
        <v>108</v>
      </c>
      <c r="AE126" s="227">
        <v>108</v>
      </c>
      <c r="AF126" s="227">
        <v>0</v>
      </c>
      <c r="AG126" s="226"/>
      <c r="AH126" s="514"/>
    </row>
    <row r="127" spans="1:34" x14ac:dyDescent="0.2">
      <c r="A127" s="8">
        <v>18250</v>
      </c>
      <c r="B127" s="8" t="s">
        <v>63</v>
      </c>
      <c r="C127" s="8" t="s">
        <v>24</v>
      </c>
      <c r="D127" s="29" t="s">
        <v>2</v>
      </c>
      <c r="E127" s="226">
        <v>1</v>
      </c>
      <c r="F127" s="1">
        <v>6989.84</v>
      </c>
      <c r="G127" s="1">
        <v>6989.84</v>
      </c>
      <c r="H127" s="1">
        <v>0</v>
      </c>
      <c r="I127" s="226"/>
      <c r="J127" s="1">
        <v>0</v>
      </c>
      <c r="K127" s="1">
        <v>0</v>
      </c>
      <c r="L127" s="1">
        <v>0</v>
      </c>
      <c r="M127" s="513"/>
      <c r="N127" s="1">
        <v>0</v>
      </c>
      <c r="O127" s="1">
        <v>0</v>
      </c>
      <c r="P127" s="1">
        <v>0</v>
      </c>
      <c r="Q127" s="226"/>
      <c r="R127" s="1">
        <v>0</v>
      </c>
      <c r="S127" s="1">
        <v>0</v>
      </c>
      <c r="T127" s="1">
        <v>0</v>
      </c>
      <c r="U127" s="226"/>
      <c r="V127" s="1">
        <f t="shared" si="3"/>
        <v>6989.84</v>
      </c>
      <c r="W127" s="1">
        <f t="shared" si="3"/>
        <v>6989.84</v>
      </c>
      <c r="X127" s="1">
        <f t="shared" si="3"/>
        <v>0</v>
      </c>
      <c r="Z127" s="1">
        <f t="shared" si="2"/>
        <v>6989.84</v>
      </c>
      <c r="AA127" s="1">
        <f t="shared" si="2"/>
        <v>6989.84</v>
      </c>
      <c r="AB127" s="1">
        <f t="shared" si="2"/>
        <v>0</v>
      </c>
      <c r="AD127" s="227">
        <v>75</v>
      </c>
      <c r="AE127" s="227">
        <v>75</v>
      </c>
      <c r="AF127" s="227">
        <v>0</v>
      </c>
      <c r="AG127" s="226"/>
      <c r="AH127" s="514"/>
    </row>
    <row r="128" spans="1:34" x14ac:dyDescent="0.2">
      <c r="A128" s="8">
        <v>18350</v>
      </c>
      <c r="B128" s="8" t="s">
        <v>64</v>
      </c>
      <c r="C128" s="8" t="s">
        <v>67</v>
      </c>
      <c r="D128" s="29" t="s">
        <v>2</v>
      </c>
      <c r="E128" s="226">
        <v>1</v>
      </c>
      <c r="F128" s="1">
        <v>7003</v>
      </c>
      <c r="G128" s="1">
        <v>6653</v>
      </c>
      <c r="H128" s="1">
        <v>350</v>
      </c>
      <c r="I128" s="226"/>
      <c r="J128" s="1">
        <v>0</v>
      </c>
      <c r="K128" s="1">
        <v>0</v>
      </c>
      <c r="L128" s="1">
        <v>0</v>
      </c>
      <c r="M128" s="513"/>
      <c r="N128" s="1">
        <v>3776.7</v>
      </c>
      <c r="O128" s="1">
        <v>3587.8999999999996</v>
      </c>
      <c r="P128" s="1">
        <v>188.8</v>
      </c>
      <c r="Q128" s="226"/>
      <c r="R128" s="1">
        <v>0</v>
      </c>
      <c r="S128" s="1">
        <v>0</v>
      </c>
      <c r="T128" s="1">
        <v>0</v>
      </c>
      <c r="U128" s="226"/>
      <c r="V128" s="1">
        <f t="shared" si="3"/>
        <v>10779.7</v>
      </c>
      <c r="W128" s="1">
        <f t="shared" si="3"/>
        <v>10240.9</v>
      </c>
      <c r="X128" s="1">
        <f t="shared" si="3"/>
        <v>538.79999999999995</v>
      </c>
      <c r="Z128" s="1">
        <f t="shared" si="2"/>
        <v>7003</v>
      </c>
      <c r="AA128" s="1">
        <f t="shared" si="2"/>
        <v>6653</v>
      </c>
      <c r="AB128" s="1">
        <f t="shared" si="2"/>
        <v>350</v>
      </c>
      <c r="AD128" s="227">
        <v>441.61</v>
      </c>
      <c r="AE128" s="227">
        <v>441.61</v>
      </c>
      <c r="AF128" s="227">
        <v>0</v>
      </c>
      <c r="AG128" s="226"/>
      <c r="AH128" s="514"/>
    </row>
    <row r="129" spans="1:36" x14ac:dyDescent="0.2">
      <c r="A129" s="8">
        <v>18400</v>
      </c>
      <c r="B129" s="8" t="s">
        <v>170</v>
      </c>
      <c r="C129" s="8" t="s">
        <v>182</v>
      </c>
      <c r="D129" s="29" t="s">
        <v>3</v>
      </c>
      <c r="E129" s="226">
        <v>1</v>
      </c>
      <c r="F129" s="1">
        <v>5460</v>
      </c>
      <c r="G129" s="1">
        <v>5273</v>
      </c>
      <c r="H129" s="1">
        <v>187</v>
      </c>
      <c r="I129" s="226"/>
      <c r="J129" s="1">
        <v>0</v>
      </c>
      <c r="K129" s="1">
        <v>0</v>
      </c>
      <c r="L129" s="1">
        <v>0</v>
      </c>
      <c r="M129" s="513"/>
      <c r="N129" s="1">
        <v>847</v>
      </c>
      <c r="O129" s="1">
        <v>847</v>
      </c>
      <c r="P129" s="1">
        <v>0</v>
      </c>
      <c r="Q129" s="226"/>
      <c r="R129" s="1">
        <v>0</v>
      </c>
      <c r="S129" s="1">
        <v>0</v>
      </c>
      <c r="T129" s="1">
        <v>0</v>
      </c>
      <c r="U129" s="226"/>
      <c r="V129" s="1">
        <f t="shared" si="3"/>
        <v>6307</v>
      </c>
      <c r="W129" s="1">
        <f t="shared" si="3"/>
        <v>6120</v>
      </c>
      <c r="X129" s="1">
        <f t="shared" si="3"/>
        <v>187</v>
      </c>
      <c r="Z129" s="1">
        <f t="shared" si="2"/>
        <v>5460</v>
      </c>
      <c r="AA129" s="1">
        <f t="shared" si="2"/>
        <v>5273</v>
      </c>
      <c r="AB129" s="1">
        <f t="shared" si="2"/>
        <v>187</v>
      </c>
      <c r="AD129" s="227">
        <v>0</v>
      </c>
      <c r="AE129" s="227">
        <v>0</v>
      </c>
      <c r="AF129" s="227">
        <v>0</v>
      </c>
      <c r="AG129" s="226"/>
      <c r="AH129" s="514"/>
    </row>
    <row r="130" spans="1:36" x14ac:dyDescent="0.2">
      <c r="A130" s="8">
        <v>18450</v>
      </c>
      <c r="B130" s="8" t="s">
        <v>171</v>
      </c>
      <c r="C130" s="8" t="s">
        <v>37</v>
      </c>
      <c r="D130" s="29" t="s">
        <v>2</v>
      </c>
      <c r="E130" s="226"/>
      <c r="F130" s="1">
        <v>0</v>
      </c>
      <c r="G130" s="1">
        <v>0</v>
      </c>
      <c r="H130" s="1">
        <v>0</v>
      </c>
      <c r="I130" s="226">
        <v>1</v>
      </c>
      <c r="J130" s="1">
        <v>31759.13</v>
      </c>
      <c r="K130" s="1">
        <v>31432.190000000002</v>
      </c>
      <c r="L130" s="1">
        <v>326.94</v>
      </c>
      <c r="M130" s="513"/>
      <c r="N130" s="1">
        <v>0</v>
      </c>
      <c r="O130" s="1">
        <v>0</v>
      </c>
      <c r="P130" s="1">
        <v>0</v>
      </c>
      <c r="Q130" s="226"/>
      <c r="R130" s="1">
        <v>0</v>
      </c>
      <c r="S130" s="1">
        <v>0</v>
      </c>
      <c r="T130" s="1">
        <v>0</v>
      </c>
      <c r="U130" s="226"/>
      <c r="V130" s="1">
        <f t="shared" si="3"/>
        <v>31759.13</v>
      </c>
      <c r="W130" s="1">
        <f t="shared" si="3"/>
        <v>31432.190000000002</v>
      </c>
      <c r="X130" s="1">
        <f t="shared" si="3"/>
        <v>326.94</v>
      </c>
      <c r="Z130" s="1">
        <f t="shared" si="2"/>
        <v>31759.13</v>
      </c>
      <c r="AA130" s="1">
        <f t="shared" si="2"/>
        <v>31432.190000000002</v>
      </c>
      <c r="AB130" s="1">
        <f t="shared" si="2"/>
        <v>326.94</v>
      </c>
      <c r="AD130" s="227">
        <v>0</v>
      </c>
      <c r="AE130" s="227">
        <v>0</v>
      </c>
      <c r="AF130" s="227">
        <v>0</v>
      </c>
      <c r="AG130" s="226"/>
      <c r="AH130" s="514"/>
    </row>
    <row r="131" spans="1:36" x14ac:dyDescent="0.2">
      <c r="A131" s="8">
        <v>18500</v>
      </c>
      <c r="B131" s="8" t="s">
        <v>65</v>
      </c>
      <c r="C131" s="8" t="s">
        <v>17</v>
      </c>
      <c r="D131" s="29" t="s">
        <v>2</v>
      </c>
      <c r="E131" s="226"/>
      <c r="F131" s="1">
        <v>0</v>
      </c>
      <c r="G131" s="1">
        <v>0</v>
      </c>
      <c r="H131" s="1">
        <v>0</v>
      </c>
      <c r="I131" s="226">
        <v>1</v>
      </c>
      <c r="J131" s="1">
        <v>4175.29</v>
      </c>
      <c r="K131" s="1">
        <v>4175.29</v>
      </c>
      <c r="L131" s="1">
        <v>0</v>
      </c>
      <c r="M131" s="513"/>
      <c r="N131" s="1">
        <v>0</v>
      </c>
      <c r="O131" s="1">
        <v>0</v>
      </c>
      <c r="P131" s="1">
        <v>0</v>
      </c>
      <c r="Q131" s="226"/>
      <c r="R131" s="1">
        <v>0</v>
      </c>
      <c r="S131" s="1">
        <v>0</v>
      </c>
      <c r="T131" s="1">
        <v>0</v>
      </c>
      <c r="U131" s="226"/>
      <c r="V131" s="1">
        <f t="shared" si="3"/>
        <v>4175.29</v>
      </c>
      <c r="W131" s="1">
        <f t="shared" si="3"/>
        <v>4175.29</v>
      </c>
      <c r="X131" s="1">
        <f t="shared" si="3"/>
        <v>0</v>
      </c>
      <c r="Z131" s="1">
        <f t="shared" si="2"/>
        <v>4175.29</v>
      </c>
      <c r="AA131" s="1">
        <f t="shared" si="2"/>
        <v>4175.29</v>
      </c>
      <c r="AB131" s="1">
        <f t="shared" si="2"/>
        <v>0</v>
      </c>
      <c r="AD131" s="227">
        <v>0</v>
      </c>
      <c r="AE131" s="227">
        <v>0</v>
      </c>
      <c r="AF131" s="227">
        <v>0</v>
      </c>
      <c r="AG131" s="226"/>
      <c r="AH131" s="514"/>
    </row>
    <row r="132" spans="1:36" x14ac:dyDescent="0.2">
      <c r="A132" s="8">
        <v>18710</v>
      </c>
      <c r="B132" s="8" t="s">
        <v>172</v>
      </c>
      <c r="C132" s="8" t="s">
        <v>67</v>
      </c>
      <c r="D132" s="29" t="s">
        <v>1</v>
      </c>
      <c r="E132" s="226"/>
      <c r="F132" s="1">
        <v>0</v>
      </c>
      <c r="G132" s="1">
        <v>0</v>
      </c>
      <c r="H132" s="1">
        <v>0</v>
      </c>
      <c r="I132" s="226"/>
      <c r="J132" s="1">
        <v>0</v>
      </c>
      <c r="K132" s="1">
        <v>0</v>
      </c>
      <c r="L132" s="1">
        <v>0</v>
      </c>
      <c r="M132" s="513"/>
      <c r="N132" s="1">
        <v>5800</v>
      </c>
      <c r="O132" s="1">
        <v>5500</v>
      </c>
      <c r="P132" s="1">
        <v>300</v>
      </c>
      <c r="Q132" s="226"/>
      <c r="R132" s="1">
        <v>0</v>
      </c>
      <c r="S132" s="1">
        <v>0</v>
      </c>
      <c r="T132" s="1">
        <v>0</v>
      </c>
      <c r="U132" s="226"/>
      <c r="V132" s="1">
        <f t="shared" si="3"/>
        <v>5800</v>
      </c>
      <c r="W132" s="1">
        <f t="shared" si="3"/>
        <v>5500</v>
      </c>
      <c r="X132" s="1">
        <f t="shared" si="3"/>
        <v>300</v>
      </c>
      <c r="Z132" s="1">
        <f>F132+J132</f>
        <v>0</v>
      </c>
      <c r="AA132" s="1">
        <f>G132+K132</f>
        <v>0</v>
      </c>
      <c r="AB132" s="1">
        <f>H132+L132</f>
        <v>0</v>
      </c>
      <c r="AD132" s="227">
        <v>0</v>
      </c>
      <c r="AE132" s="227">
        <v>0</v>
      </c>
      <c r="AF132" s="227">
        <v>0</v>
      </c>
      <c r="AG132" s="226"/>
      <c r="AH132" s="514"/>
    </row>
    <row r="133" spans="1:36" s="134" customFormat="1" ht="11.25" x14ac:dyDescent="0.2">
      <c r="C133" s="134">
        <f>128-(41+42+5)</f>
        <v>40</v>
      </c>
      <c r="F133" s="228"/>
      <c r="G133" s="138"/>
      <c r="H133" s="138"/>
      <c r="J133" s="138"/>
      <c r="K133" s="138"/>
      <c r="L133" s="138"/>
      <c r="N133" s="138"/>
      <c r="O133" s="138"/>
      <c r="P133" s="138"/>
      <c r="R133" s="138"/>
      <c r="S133" s="138"/>
      <c r="T133" s="138"/>
      <c r="V133" s="2"/>
      <c r="W133" s="2"/>
      <c r="X133" s="2"/>
      <c r="Z133" s="153"/>
      <c r="AA133" s="153"/>
      <c r="AB133" s="153"/>
      <c r="AD133" s="138"/>
      <c r="AE133" s="138"/>
      <c r="AF133" s="138"/>
    </row>
    <row r="134" spans="1:36" s="134" customFormat="1" ht="15" x14ac:dyDescent="0.2">
      <c r="A134" s="719" t="s">
        <v>0</v>
      </c>
      <c r="B134" s="719"/>
      <c r="C134" s="719"/>
      <c r="D134" s="135"/>
      <c r="F134" s="137"/>
      <c r="G134" s="137"/>
      <c r="H134" s="138"/>
      <c r="J134" s="573"/>
      <c r="K134" s="138"/>
      <c r="L134" s="138"/>
      <c r="N134" s="136"/>
      <c r="O134" s="138"/>
      <c r="P134" s="138"/>
      <c r="R134" s="136"/>
      <c r="S134" s="138"/>
      <c r="T134" s="136"/>
      <c r="V134" s="570"/>
      <c r="W134" s="4"/>
      <c r="X134" s="149"/>
      <c r="Z134" s="643"/>
      <c r="AA134" s="644"/>
      <c r="AD134" s="138"/>
      <c r="AE134" s="138"/>
      <c r="AF134" s="138"/>
    </row>
    <row r="135" spans="1:36" s="134" customFormat="1" ht="11.25" x14ac:dyDescent="0.2">
      <c r="A135" s="698" t="s">
        <v>7</v>
      </c>
      <c r="B135" s="699"/>
      <c r="C135" s="700"/>
      <c r="D135" s="135"/>
      <c r="E135" s="232"/>
      <c r="F135" s="140">
        <f>SUM(F5:F132)</f>
        <v>426414.92999999993</v>
      </c>
      <c r="G135" s="140">
        <f>SUM(G5:G132)</f>
        <v>413753.62000000011</v>
      </c>
      <c r="H135" s="140">
        <f>SUM(H5:H132)</f>
        <v>12661.310000000003</v>
      </c>
      <c r="I135" s="232"/>
      <c r="J135" s="140">
        <f>SUM(J5:J132)</f>
        <v>290100.33999999997</v>
      </c>
      <c r="K135" s="140">
        <f>SUM(K5:K132)</f>
        <v>281241.89</v>
      </c>
      <c r="L135" s="140">
        <f>SUM(L5:L132)</f>
        <v>8858.4499999999989</v>
      </c>
      <c r="M135" s="232"/>
      <c r="N135" s="140">
        <f>SUM(N5:N132)</f>
        <v>113706.98000000001</v>
      </c>
      <c r="O135" s="140">
        <f>SUM(O5:O132)</f>
        <v>108169.92</v>
      </c>
      <c r="P135" s="140">
        <f>SUM(P5:P132)</f>
        <v>5537.0599999999995</v>
      </c>
      <c r="Q135" s="232"/>
      <c r="R135" s="140">
        <f>SUM(R5:R132)</f>
        <v>13399.7</v>
      </c>
      <c r="S135" s="140">
        <f>SUM(S5:S132)</f>
        <v>13381.689999999999</v>
      </c>
      <c r="T135" s="140">
        <f>SUM(T5:T132)</f>
        <v>18.009999999999998</v>
      </c>
      <c r="U135" s="232"/>
      <c r="V135" s="465">
        <f>SUM(V5:V132)</f>
        <v>843621.95000000042</v>
      </c>
      <c r="W135" s="465">
        <f>SUM(W5:W132)</f>
        <v>816547.11999999988</v>
      </c>
      <c r="X135" s="465">
        <f>SUM(X5:X132)</f>
        <v>27074.829999999998</v>
      </c>
      <c r="Y135" s="149"/>
      <c r="Z135" s="153">
        <f>F135+J135</f>
        <v>716515.2699999999</v>
      </c>
      <c r="AA135" s="153">
        <f>G135+K135</f>
        <v>694995.51000000013</v>
      </c>
      <c r="AB135" s="153">
        <f>H135+L135</f>
        <v>21519.760000000002</v>
      </c>
      <c r="AC135" s="153"/>
      <c r="AD135" s="140">
        <f>SUM(AD5:AD132)</f>
        <v>43760.009999999995</v>
      </c>
      <c r="AE135" s="140">
        <f>SUM(AE5:AE132)</f>
        <v>43758.009999999995</v>
      </c>
      <c r="AF135" s="140">
        <f>SUM(AF5:AF132)</f>
        <v>2</v>
      </c>
      <c r="AG135" s="232"/>
      <c r="AH135" s="153"/>
      <c r="AI135" s="153"/>
    </row>
    <row r="136" spans="1:36" s="134" customFormat="1" ht="11.25" x14ac:dyDescent="0.2">
      <c r="D136" s="135"/>
      <c r="F136" s="136"/>
      <c r="G136" s="138"/>
      <c r="H136" s="137"/>
      <c r="J136" s="138"/>
      <c r="K136" s="138"/>
      <c r="L136" s="138"/>
      <c r="N136" s="138"/>
      <c r="O136" s="138"/>
      <c r="P136" s="138"/>
      <c r="R136" s="138"/>
      <c r="S136" s="138"/>
      <c r="T136" s="138"/>
      <c r="V136" s="30"/>
      <c r="W136" s="30"/>
      <c r="X136" s="30"/>
      <c r="AD136" s="138"/>
      <c r="AE136" s="138"/>
      <c r="AF136" s="138"/>
      <c r="AI136" s="153"/>
    </row>
    <row r="137" spans="1:36" s="134" customFormat="1" ht="11.25" x14ac:dyDescent="0.2">
      <c r="A137" s="694" t="s">
        <v>458</v>
      </c>
      <c r="B137" s="694"/>
      <c r="C137" s="694"/>
      <c r="D137" s="147"/>
      <c r="F137" s="147">
        <f>SUMIF($D$5:$D$132,"S",F$5:F$132)</f>
        <v>366698.18000000005</v>
      </c>
      <c r="G137" s="147">
        <f>SUMIF($D$5:$D$132,"S",G$5:G$132)</f>
        <v>361718.05</v>
      </c>
      <c r="H137" s="147">
        <f>SUMIF($D$5:$D$132,"S",H$5:H$132)</f>
        <v>4980.13</v>
      </c>
      <c r="J137" s="147">
        <f>SUMIF($D$5:$D$132,"S",J$5:J$132)</f>
        <v>142848.44000000003</v>
      </c>
      <c r="K137" s="147">
        <f>SUMIF($D$5:$D$132,"S",K$5:K$132)</f>
        <v>139940.86000000002</v>
      </c>
      <c r="L137" s="147">
        <f>SUMIF($D$5:$D$132,"S",L$5:L$132)</f>
        <v>2907.5800000000004</v>
      </c>
      <c r="N137" s="147">
        <f>SUMIF($D$5:$D$132,"S",N$5:N$132)</f>
        <v>24778.25</v>
      </c>
      <c r="O137" s="147">
        <f>SUMIF($D$5:$D$132,"S",O$5:O$132)</f>
        <v>24587.910000000003</v>
      </c>
      <c r="P137" s="147">
        <f>SUMIF($D$5:$D$132,"S",P$5:P$132)</f>
        <v>190.34</v>
      </c>
      <c r="R137" s="147">
        <f>SUMIF($D$5:$D$132,"S",R$5:R$132)</f>
        <v>12693.130000000001</v>
      </c>
      <c r="S137" s="147">
        <f>SUMIF($D$5:$D$132,"S",S$5:S$132)</f>
        <v>12692.619999999999</v>
      </c>
      <c r="T137" s="147">
        <f>SUMIF($D$5:$D$132,"S",T$5:T$132)</f>
        <v>0.51</v>
      </c>
      <c r="V137" s="147">
        <f>SUMIF($D$5:$D$132,"S",V$5:V$132)</f>
        <v>547018.00000000012</v>
      </c>
      <c r="W137" s="147">
        <f>SUMIF($D$5:$D$132,"S",W$5:W$132)</f>
        <v>538939.44000000006</v>
      </c>
      <c r="X137" s="147">
        <f>SUMIF($D$5:$D$132,"S",X$5:X$132)</f>
        <v>8078.5599999999995</v>
      </c>
      <c r="Y137" s="516"/>
      <c r="Z137" s="153">
        <f t="shared" ref="Z137:AB139" si="4">F137+J137</f>
        <v>509546.62000000011</v>
      </c>
      <c r="AA137" s="153">
        <f t="shared" si="4"/>
        <v>501658.91000000003</v>
      </c>
      <c r="AB137" s="153">
        <f t="shared" si="4"/>
        <v>7887.7100000000009</v>
      </c>
      <c r="AC137" s="144"/>
      <c r="AD137" s="147">
        <f>SUMIF($D$5:$D$132,"S",AD$5:AD$132)</f>
        <v>14558.750000000002</v>
      </c>
      <c r="AE137" s="147">
        <f>SUMIF($D$5:$D$132,"S",AE$5:AE$132)</f>
        <v>14558.750000000002</v>
      </c>
      <c r="AF137" s="147">
        <f>SUMIF($D$5:$D$132,"S",AF$5:AF$132)</f>
        <v>0</v>
      </c>
      <c r="AI137" s="153"/>
      <c r="AJ137" s="150"/>
    </row>
    <row r="138" spans="1:36" s="134" customFormat="1" ht="11.25" x14ac:dyDescent="0.2">
      <c r="A138" s="694" t="s">
        <v>460</v>
      </c>
      <c r="B138" s="694"/>
      <c r="C138" s="694"/>
      <c r="D138" s="234"/>
      <c r="F138" s="147">
        <f>SUMIF($D$5:$D$132,"R",F$5:F$132)</f>
        <v>37040.520000000004</v>
      </c>
      <c r="G138" s="147">
        <f>SUMIF($D$5:$D$132,"R",G$5:G$132)</f>
        <v>36754.119999999995</v>
      </c>
      <c r="H138" s="147">
        <f>SUMIF($D$5:$D$132,"R",H$5:H$132)</f>
        <v>286.39999999999998</v>
      </c>
      <c r="J138" s="147">
        <f>SUMIF($D$5:$D$132,"R",J$5:J$132)</f>
        <v>72125.09</v>
      </c>
      <c r="K138" s="147">
        <f>SUMIF($D$5:$D$132,"R",K$5:K$132)</f>
        <v>70995.959999999992</v>
      </c>
      <c r="L138" s="147">
        <f>SUMIF($D$5:$D$132,"R",L$5:L$132)</f>
        <v>1129.1300000000001</v>
      </c>
      <c r="N138" s="147">
        <f>SUMIF($D$5:$D$132,"R",N$5:N$132)</f>
        <v>26538.39</v>
      </c>
      <c r="O138" s="147">
        <f>SUMIF($D$5:$D$132,"R",O$5:O$132)</f>
        <v>26537.47</v>
      </c>
      <c r="P138" s="147">
        <f>SUMIF($D$5:$D$132,"R",P$5:P$132)</f>
        <v>0.92</v>
      </c>
      <c r="R138" s="147">
        <f>SUMIF($D$5:$D$132,"R",R$5:R$132)</f>
        <v>624.14</v>
      </c>
      <c r="S138" s="147">
        <f>SUMIF($D$5:$D$132,"R",S$5:S$132)</f>
        <v>624.14</v>
      </c>
      <c r="T138" s="147">
        <f>SUMIF($D$5:$D$132,"R",T$5:T$132)</f>
        <v>0</v>
      </c>
      <c r="V138" s="147">
        <f>SUMIF($D$5:$D$132,"R",V$5:V$132)</f>
        <v>136328.14000000001</v>
      </c>
      <c r="W138" s="147">
        <f>SUMIF($D$5:$D$132,"R",W$5:W$132)</f>
        <v>134911.69</v>
      </c>
      <c r="X138" s="147">
        <f>SUMIF($D$5:$D$132,"R",X$5:X$132)</f>
        <v>1416.45</v>
      </c>
      <c r="Y138" s="516"/>
      <c r="Z138" s="153">
        <f t="shared" si="4"/>
        <v>109165.61</v>
      </c>
      <c r="AA138" s="153">
        <f t="shared" si="4"/>
        <v>107750.07999999999</v>
      </c>
      <c r="AB138" s="153">
        <f t="shared" si="4"/>
        <v>1415.5300000000002</v>
      </c>
      <c r="AD138" s="147">
        <f>SUMIF($D$5:$D$132,"R",AD$5:AD$132)</f>
        <v>15242.99</v>
      </c>
      <c r="AE138" s="147">
        <f>SUMIF($D$5:$D$132,"R",AE$5:AE$132)</f>
        <v>15242.99</v>
      </c>
      <c r="AF138" s="147">
        <f>SUMIF($D$5:$D$132,"R",AF$5:AF$132)</f>
        <v>0</v>
      </c>
      <c r="AI138" s="153"/>
    </row>
    <row r="139" spans="1:36" s="134" customFormat="1" ht="11.25" x14ac:dyDescent="0.2">
      <c r="A139" s="694" t="s">
        <v>463</v>
      </c>
      <c r="B139" s="694"/>
      <c r="C139" s="694"/>
      <c r="D139" s="234"/>
      <c r="F139" s="147">
        <f>SUMIF($D$5:$D$132,"N",F$5:F$132)</f>
        <v>22676.23</v>
      </c>
      <c r="G139" s="147">
        <f>SUMIF($D$5:$D$132,"N",G$5:G$132)</f>
        <v>15281.449999999999</v>
      </c>
      <c r="H139" s="147">
        <f>SUMIF($D$5:$D$132,"N",H$5:H$132)</f>
        <v>7394.7800000000007</v>
      </c>
      <c r="J139" s="147">
        <f>SUMIF($D$5:$D$132,"N",J$5:J$132)</f>
        <v>75126.81</v>
      </c>
      <c r="K139" s="147">
        <f>SUMIF($D$5:$D$132,"N",K$5:K$132)</f>
        <v>70305.070000000007</v>
      </c>
      <c r="L139" s="147">
        <f>SUMIF($D$5:$D$132,"N",L$5:L$132)</f>
        <v>4821.7399999999989</v>
      </c>
      <c r="N139" s="147">
        <f>SUMIF($D$5:$D$132,"N",N$5:N$132)</f>
        <v>62390.34</v>
      </c>
      <c r="O139" s="147">
        <f>SUMIF($D$5:$D$132,"N",O$5:O$132)</f>
        <v>57044.54</v>
      </c>
      <c r="P139" s="147">
        <f>SUMIF($D$5:$D$132,"N",P$5:P$132)</f>
        <v>5345.8</v>
      </c>
      <c r="R139" s="147">
        <f>SUMIF($D$5:$D$132,"N",R$5:R$132)</f>
        <v>82.43</v>
      </c>
      <c r="S139" s="147">
        <f>SUMIF($D$5:$D$132,"N",S$5:S$132)</f>
        <v>64.930000000000007</v>
      </c>
      <c r="T139" s="147">
        <f>SUMIF($D$5:$D$132,"N",T$5:T$132)</f>
        <v>17.5</v>
      </c>
      <c r="V139" s="147">
        <f>SUMIF($D$5:$D$132,"N",V$5:V$132)</f>
        <v>160275.80999999994</v>
      </c>
      <c r="W139" s="147">
        <f>SUMIF($D$5:$D$132,"N",W$5:W$132)</f>
        <v>142695.98999999996</v>
      </c>
      <c r="X139" s="147">
        <f>SUMIF($D$5:$D$132,"N",X$5:X$132)</f>
        <v>17579.819999999996</v>
      </c>
      <c r="Y139" s="516"/>
      <c r="Z139" s="153">
        <f t="shared" si="4"/>
        <v>97803.04</v>
      </c>
      <c r="AA139" s="153">
        <f t="shared" si="4"/>
        <v>85586.52</v>
      </c>
      <c r="AB139" s="153">
        <f t="shared" si="4"/>
        <v>12216.52</v>
      </c>
      <c r="AD139" s="147">
        <f>SUMIF($D$5:$D$132,"N",AD$5:AD$132)</f>
        <v>13958.270000000002</v>
      </c>
      <c r="AE139" s="147">
        <f>SUMIF($D$5:$D$132,"N",AE$5:AE$132)</f>
        <v>13956.270000000002</v>
      </c>
      <c r="AF139" s="147">
        <f>SUMIF($D$5:$D$132,"N",AF$5:AF$132)</f>
        <v>2</v>
      </c>
      <c r="AI139" s="153"/>
    </row>
    <row r="140" spans="1:36" s="134" customFormat="1" ht="11.25" x14ac:dyDescent="0.2">
      <c r="A140" s="95"/>
      <c r="B140" s="95"/>
      <c r="C140" s="95"/>
      <c r="D140" s="234"/>
      <c r="F140" s="151"/>
      <c r="G140" s="151"/>
      <c r="H140" s="151"/>
      <c r="J140" s="151"/>
      <c r="K140" s="151"/>
      <c r="L140" s="151"/>
      <c r="N140" s="151"/>
      <c r="O140" s="151"/>
      <c r="P140" s="151"/>
      <c r="R140" s="151"/>
      <c r="S140" s="151"/>
      <c r="T140" s="151"/>
      <c r="V140" s="151"/>
      <c r="W140" s="151"/>
      <c r="X140" s="151"/>
      <c r="Y140" s="516"/>
      <c r="Z140" s="153"/>
      <c r="AA140" s="153"/>
      <c r="AB140" s="153"/>
      <c r="AD140" s="151"/>
      <c r="AE140" s="151"/>
      <c r="AF140" s="151"/>
    </row>
    <row r="141" spans="1:36" s="134" customFormat="1" ht="11.25" x14ac:dyDescent="0.2">
      <c r="A141" s="698" t="s">
        <v>7</v>
      </c>
      <c r="B141" s="699"/>
      <c r="C141" s="700"/>
      <c r="D141" s="135"/>
      <c r="E141" s="232"/>
      <c r="F141" s="140">
        <v>474208.51</v>
      </c>
      <c r="G141" s="140">
        <v>471177.57</v>
      </c>
      <c r="H141" s="140">
        <v>3030.94</v>
      </c>
      <c r="I141" s="232"/>
      <c r="J141" s="140">
        <v>335921.77999999997</v>
      </c>
      <c r="K141" s="140">
        <v>331513.88</v>
      </c>
      <c r="L141" s="140">
        <v>4407.9000000000005</v>
      </c>
      <c r="M141" s="232"/>
      <c r="N141" s="140">
        <v>106619.28000000003</v>
      </c>
      <c r="O141" s="140">
        <v>101773.56000000001</v>
      </c>
      <c r="P141" s="140">
        <v>4845.7199999999993</v>
      </c>
      <c r="Q141" s="232"/>
      <c r="R141" s="140">
        <v>19272.330000000002</v>
      </c>
      <c r="S141" s="140">
        <v>17889.82</v>
      </c>
      <c r="T141" s="140">
        <v>1382.51</v>
      </c>
      <c r="U141" s="232"/>
      <c r="V141" s="465">
        <v>936021.9</v>
      </c>
      <c r="W141" s="465">
        <v>922354.83000000007</v>
      </c>
      <c r="X141" s="465">
        <v>13667.07</v>
      </c>
      <c r="Y141" s="149"/>
      <c r="Z141" s="153">
        <v>810130.29</v>
      </c>
      <c r="AA141" s="153">
        <v>802691.45</v>
      </c>
      <c r="AB141" s="153">
        <v>7438.84</v>
      </c>
      <c r="AC141" s="153"/>
      <c r="AD141" s="140">
        <v>32436.070000000003</v>
      </c>
      <c r="AE141" s="140">
        <v>29954</v>
      </c>
      <c r="AF141" s="140">
        <v>2472.83</v>
      </c>
      <c r="AG141" s="232"/>
      <c r="AI141" s="153"/>
    </row>
    <row r="142" spans="1:36" s="134" customFormat="1" ht="11.25" x14ac:dyDescent="0.2">
      <c r="B142" s="134" t="s">
        <v>401</v>
      </c>
      <c r="D142" s="135"/>
      <c r="F142" s="138"/>
      <c r="G142" s="138"/>
      <c r="H142" s="137"/>
      <c r="J142" s="138"/>
      <c r="K142" s="138"/>
      <c r="L142" s="138"/>
      <c r="N142" s="138"/>
      <c r="O142" s="138"/>
      <c r="P142" s="138"/>
      <c r="R142" s="138"/>
      <c r="S142" s="138"/>
      <c r="T142" s="138"/>
      <c r="V142" s="30"/>
      <c r="W142" s="30"/>
      <c r="X142" s="30"/>
      <c r="AD142" s="138"/>
      <c r="AE142" s="138"/>
      <c r="AF142" s="138"/>
    </row>
    <row r="143" spans="1:36" s="134" customFormat="1" ht="11.25" x14ac:dyDescent="0.2">
      <c r="A143" s="694" t="s">
        <v>8</v>
      </c>
      <c r="B143" s="694"/>
      <c r="C143" s="694"/>
      <c r="D143" s="147"/>
      <c r="F143" s="147">
        <v>316995.83999999997</v>
      </c>
      <c r="G143" s="147">
        <v>314743.55</v>
      </c>
      <c r="H143" s="147">
        <v>2252.29</v>
      </c>
      <c r="J143" s="147">
        <v>61903.210000000006</v>
      </c>
      <c r="K143" s="147">
        <v>60357.950000000004</v>
      </c>
      <c r="L143" s="147">
        <v>1545.26</v>
      </c>
      <c r="N143" s="147">
        <v>207.54</v>
      </c>
      <c r="O143" s="147">
        <v>207.54</v>
      </c>
      <c r="P143" s="147">
        <v>0</v>
      </c>
      <c r="R143" s="147">
        <v>5412.49</v>
      </c>
      <c r="S143" s="147">
        <v>4081.9100000000003</v>
      </c>
      <c r="T143" s="147">
        <v>1330.5800000000002</v>
      </c>
      <c r="V143" s="147">
        <v>384519.08</v>
      </c>
      <c r="W143" s="147">
        <v>379390.94999999995</v>
      </c>
      <c r="X143" s="147">
        <v>5128.13</v>
      </c>
      <c r="Y143" s="516"/>
      <c r="Z143" s="153">
        <v>378899.05</v>
      </c>
      <c r="AA143" s="153">
        <v>375101.5</v>
      </c>
      <c r="AB143" s="153">
        <v>3797.55</v>
      </c>
      <c r="AC143" s="144"/>
      <c r="AD143" s="147">
        <v>13750.03</v>
      </c>
      <c r="AE143" s="147">
        <v>12715</v>
      </c>
      <c r="AF143" s="147">
        <v>1032.6199999999999</v>
      </c>
      <c r="AJ143" s="150"/>
    </row>
    <row r="144" spans="1:36" s="134" customFormat="1" ht="11.25" x14ac:dyDescent="0.2">
      <c r="A144" s="694" t="s">
        <v>9</v>
      </c>
      <c r="B144" s="694"/>
      <c r="C144" s="694"/>
      <c r="D144" s="234"/>
      <c r="F144" s="147">
        <v>95674.07</v>
      </c>
      <c r="G144" s="147">
        <v>95318.42</v>
      </c>
      <c r="H144" s="147">
        <v>355.65</v>
      </c>
      <c r="J144" s="147">
        <v>104090.89</v>
      </c>
      <c r="K144" s="147">
        <v>103314.45999999999</v>
      </c>
      <c r="L144" s="147">
        <v>776.43</v>
      </c>
      <c r="N144" s="147">
        <v>23069.14</v>
      </c>
      <c r="O144" s="147">
        <v>23069.14</v>
      </c>
      <c r="P144" s="147">
        <v>0</v>
      </c>
      <c r="R144" s="147">
        <v>13499.7</v>
      </c>
      <c r="S144" s="147">
        <v>13499.7</v>
      </c>
      <c r="T144" s="147">
        <v>0</v>
      </c>
      <c r="V144" s="147">
        <v>236333.80000000002</v>
      </c>
      <c r="W144" s="147">
        <v>235201.71999999997</v>
      </c>
      <c r="X144" s="147">
        <v>1132.08</v>
      </c>
      <c r="Y144" s="516"/>
      <c r="Z144" s="153">
        <v>199764.96000000002</v>
      </c>
      <c r="AA144" s="153">
        <v>198632.88</v>
      </c>
      <c r="AB144" s="153">
        <v>1132.08</v>
      </c>
      <c r="AD144" s="147">
        <v>2546.91</v>
      </c>
      <c r="AE144" s="147">
        <v>2546</v>
      </c>
      <c r="AF144" s="147">
        <v>0.28999999999999998</v>
      </c>
    </row>
    <row r="145" spans="1:36" s="134" customFormat="1" ht="11.25" x14ac:dyDescent="0.2">
      <c r="A145" s="694" t="s">
        <v>10</v>
      </c>
      <c r="B145" s="694"/>
      <c r="C145" s="694"/>
      <c r="D145" s="234"/>
      <c r="F145" s="147">
        <v>37070.5</v>
      </c>
      <c r="G145" s="147">
        <v>36813.32</v>
      </c>
      <c r="H145" s="147">
        <v>257.18</v>
      </c>
      <c r="J145" s="147">
        <v>87964.27</v>
      </c>
      <c r="K145" s="147">
        <v>86706.15</v>
      </c>
      <c r="L145" s="147">
        <v>1258.1199999999999</v>
      </c>
      <c r="N145" s="147">
        <v>16449.3</v>
      </c>
      <c r="O145" s="147">
        <v>16449.3</v>
      </c>
      <c r="P145" s="147">
        <v>0</v>
      </c>
      <c r="R145" s="147">
        <v>224.12</v>
      </c>
      <c r="S145" s="147">
        <v>224.12</v>
      </c>
      <c r="T145" s="147">
        <v>0</v>
      </c>
      <c r="V145" s="147">
        <v>141708.19000000003</v>
      </c>
      <c r="W145" s="147">
        <v>140192.89000000001</v>
      </c>
      <c r="X145" s="147">
        <v>1515.3</v>
      </c>
      <c r="Y145" s="516"/>
      <c r="Z145" s="153">
        <v>125034.77</v>
      </c>
      <c r="AA145" s="153">
        <v>123519.47</v>
      </c>
      <c r="AB145" s="153">
        <v>1515.3</v>
      </c>
      <c r="AD145" s="147">
        <v>6301.01</v>
      </c>
      <c r="AE145" s="147">
        <v>6299</v>
      </c>
      <c r="AF145" s="147">
        <v>0</v>
      </c>
    </row>
    <row r="146" spans="1:36" s="134" customFormat="1" ht="11.25" x14ac:dyDescent="0.2">
      <c r="A146" s="694" t="s">
        <v>11</v>
      </c>
      <c r="B146" s="694"/>
      <c r="C146" s="694"/>
      <c r="D146" s="234"/>
      <c r="F146" s="147">
        <v>24468.100000000006</v>
      </c>
      <c r="G146" s="147">
        <v>24302.280000000002</v>
      </c>
      <c r="H146" s="147">
        <v>165.82</v>
      </c>
      <c r="J146" s="147">
        <v>81963.41</v>
      </c>
      <c r="K146" s="147">
        <v>81135.320000000007</v>
      </c>
      <c r="L146" s="147">
        <v>828.09</v>
      </c>
      <c r="N146" s="147">
        <v>66893.299999999974</v>
      </c>
      <c r="O146" s="147">
        <v>62047.579999999987</v>
      </c>
      <c r="P146" s="147">
        <v>4845.7199999999993</v>
      </c>
      <c r="R146" s="147">
        <v>136.01999999999998</v>
      </c>
      <c r="S146" s="147">
        <v>84.089999999999989</v>
      </c>
      <c r="T146" s="147">
        <v>51.93</v>
      </c>
      <c r="V146" s="147">
        <v>173460.83</v>
      </c>
      <c r="W146" s="147">
        <v>167569.27000000002</v>
      </c>
      <c r="X146" s="147">
        <v>5891.5599999999995</v>
      </c>
      <c r="Y146" s="516"/>
      <c r="Z146" s="153">
        <v>106431.51000000001</v>
      </c>
      <c r="AA146" s="153">
        <v>105437.6</v>
      </c>
      <c r="AB146" s="153">
        <v>993.91000000000008</v>
      </c>
      <c r="AD146" s="147">
        <v>9838.119999999999</v>
      </c>
      <c r="AE146" s="147">
        <v>8394</v>
      </c>
      <c r="AF146" s="147">
        <v>1439.92</v>
      </c>
    </row>
    <row r="147" spans="1:36" s="134" customFormat="1" ht="11.25" x14ac:dyDescent="0.2">
      <c r="A147" s="95"/>
      <c r="B147" s="95"/>
      <c r="C147" s="95"/>
      <c r="D147" s="234"/>
      <c r="F147" s="151"/>
      <c r="G147" s="151"/>
      <c r="H147" s="151"/>
      <c r="J147" s="151"/>
      <c r="K147" s="151"/>
      <c r="L147" s="151"/>
      <c r="N147" s="151"/>
      <c r="O147" s="151"/>
      <c r="P147" s="151"/>
      <c r="R147" s="151"/>
      <c r="S147" s="151"/>
      <c r="T147" s="151"/>
      <c r="V147" s="151"/>
      <c r="W147" s="151"/>
      <c r="X147" s="151"/>
      <c r="Y147" s="516"/>
      <c r="Z147" s="153"/>
      <c r="AA147" s="153"/>
      <c r="AB147" s="153"/>
      <c r="AD147" s="151"/>
      <c r="AE147" s="151"/>
      <c r="AF147" s="151"/>
    </row>
    <row r="148" spans="1:36" s="134" customFormat="1" ht="11.25" x14ac:dyDescent="0.2">
      <c r="A148" s="95"/>
      <c r="B148" s="95"/>
      <c r="C148" s="95"/>
      <c r="D148" s="234"/>
      <c r="F148" s="151"/>
      <c r="G148" s="151"/>
      <c r="H148" s="151"/>
      <c r="J148" s="151"/>
      <c r="K148" s="151"/>
      <c r="L148" s="151"/>
      <c r="N148" s="151"/>
      <c r="O148" s="151"/>
      <c r="P148" s="151"/>
      <c r="R148" s="151"/>
      <c r="S148" s="151"/>
      <c r="T148" s="151"/>
      <c r="V148" s="151"/>
      <c r="W148" s="151"/>
      <c r="X148" s="151"/>
      <c r="Y148" s="516"/>
      <c r="Z148" s="153"/>
      <c r="AA148" s="153"/>
      <c r="AB148" s="153"/>
      <c r="AD148" s="151"/>
      <c r="AE148" s="151"/>
      <c r="AF148" s="151"/>
    </row>
    <row r="149" spans="1:36" s="134" customFormat="1" ht="11.25" x14ac:dyDescent="0.2">
      <c r="A149" s="698" t="s">
        <v>7</v>
      </c>
      <c r="B149" s="699"/>
      <c r="C149" s="700"/>
      <c r="D149" s="135"/>
      <c r="E149" s="232"/>
      <c r="F149" s="140">
        <v>441004.07000000007</v>
      </c>
      <c r="G149" s="140">
        <v>437977.99999999994</v>
      </c>
      <c r="H149" s="140">
        <v>3026.07</v>
      </c>
      <c r="I149" s="232"/>
      <c r="J149" s="140">
        <v>278236.53999999998</v>
      </c>
      <c r="K149" s="140">
        <v>273050.92</v>
      </c>
      <c r="L149" s="140">
        <v>5185.4399999999996</v>
      </c>
      <c r="M149" s="232"/>
      <c r="N149" s="140">
        <v>121934.13</v>
      </c>
      <c r="O149" s="140">
        <v>113772.36</v>
      </c>
      <c r="P149" s="140">
        <v>8161.7699999999995</v>
      </c>
      <c r="Q149" s="232"/>
      <c r="R149" s="140">
        <v>22046.79</v>
      </c>
      <c r="S149" s="140">
        <v>22025.79</v>
      </c>
      <c r="T149" s="140">
        <v>21</v>
      </c>
      <c r="U149" s="232"/>
      <c r="V149" s="465">
        <v>863221.53000000014</v>
      </c>
      <c r="W149" s="465">
        <v>846827.0700000003</v>
      </c>
      <c r="X149" s="465">
        <v>16394.28</v>
      </c>
      <c r="Y149" s="149"/>
      <c r="Z149" s="153">
        <v>719240.6100000001</v>
      </c>
      <c r="AA149" s="153">
        <v>711028.91999999993</v>
      </c>
      <c r="AB149" s="153">
        <v>8211.51</v>
      </c>
      <c r="AC149" s="153"/>
      <c r="AD149" s="140">
        <v>23922.080000000002</v>
      </c>
      <c r="AE149" s="140">
        <v>21327</v>
      </c>
      <c r="AF149" s="140">
        <v>2583.54</v>
      </c>
      <c r="AG149" s="232"/>
      <c r="AI149" s="153"/>
    </row>
    <row r="150" spans="1:36" s="134" customFormat="1" ht="11.25" x14ac:dyDescent="0.2">
      <c r="B150" s="134" t="s">
        <v>174</v>
      </c>
      <c r="D150" s="135"/>
      <c r="F150" s="138"/>
      <c r="G150" s="138"/>
      <c r="H150" s="137"/>
      <c r="J150" s="138"/>
      <c r="K150" s="138"/>
      <c r="L150" s="138"/>
      <c r="N150" s="138"/>
      <c r="O150" s="138"/>
      <c r="P150" s="138"/>
      <c r="R150" s="138"/>
      <c r="S150" s="138"/>
      <c r="T150" s="138"/>
      <c r="V150" s="30"/>
      <c r="W150" s="30"/>
      <c r="X150" s="30"/>
      <c r="AD150" s="138"/>
      <c r="AE150" s="138"/>
      <c r="AF150" s="138"/>
    </row>
    <row r="151" spans="1:36" s="134" customFormat="1" ht="11.25" x14ac:dyDescent="0.2">
      <c r="A151" s="694" t="s">
        <v>8</v>
      </c>
      <c r="B151" s="694"/>
      <c r="C151" s="694"/>
      <c r="D151" s="147"/>
      <c r="F151" s="147">
        <v>289188.90000000002</v>
      </c>
      <c r="G151" s="147">
        <v>287032.44</v>
      </c>
      <c r="H151" s="147">
        <v>2156.46</v>
      </c>
      <c r="J151" s="147">
        <v>48583.53</v>
      </c>
      <c r="K151" s="147">
        <v>47274</v>
      </c>
      <c r="L151" s="147">
        <v>1309.53</v>
      </c>
      <c r="N151" s="147">
        <v>1435.58</v>
      </c>
      <c r="O151" s="147">
        <v>1435.58</v>
      </c>
      <c r="P151" s="147">
        <v>0</v>
      </c>
      <c r="R151" s="147">
        <v>7785.4700000000012</v>
      </c>
      <c r="S151" s="147">
        <v>7784.4700000000012</v>
      </c>
      <c r="T151" s="147">
        <v>1</v>
      </c>
      <c r="V151" s="147">
        <v>346993.47999999992</v>
      </c>
      <c r="W151" s="147">
        <v>343526.48999999993</v>
      </c>
      <c r="X151" s="147">
        <v>3466.99</v>
      </c>
      <c r="Y151" s="516"/>
      <c r="Z151" s="153">
        <v>337772.43000000005</v>
      </c>
      <c r="AA151" s="153">
        <v>334306.44</v>
      </c>
      <c r="AB151" s="153">
        <v>3465.99</v>
      </c>
      <c r="AC151" s="144"/>
      <c r="AD151" s="147">
        <v>12282.07</v>
      </c>
      <c r="AE151" s="147">
        <v>11594</v>
      </c>
      <c r="AF151" s="147">
        <v>683.97</v>
      </c>
      <c r="AJ151" s="150"/>
    </row>
    <row r="152" spans="1:36" s="134" customFormat="1" ht="11.25" x14ac:dyDescent="0.2">
      <c r="A152" s="694" t="s">
        <v>9</v>
      </c>
      <c r="B152" s="694"/>
      <c r="C152" s="694"/>
      <c r="D152" s="234"/>
      <c r="F152" s="147">
        <v>98361.659999999989</v>
      </c>
      <c r="G152" s="147">
        <v>97904.739999999991</v>
      </c>
      <c r="H152" s="147">
        <v>456.91999999999996</v>
      </c>
      <c r="J152" s="147">
        <v>80425.91</v>
      </c>
      <c r="K152" s="147">
        <v>79386.320000000007</v>
      </c>
      <c r="L152" s="147">
        <v>1039.5900000000001</v>
      </c>
      <c r="N152" s="147">
        <v>22925.850000000002</v>
      </c>
      <c r="O152" s="147">
        <v>22816.120000000003</v>
      </c>
      <c r="P152" s="147">
        <v>109.73</v>
      </c>
      <c r="R152" s="147">
        <v>13802.96</v>
      </c>
      <c r="S152" s="147">
        <v>13802.96</v>
      </c>
      <c r="T152" s="147">
        <v>0</v>
      </c>
      <c r="V152" s="147">
        <v>215516.38</v>
      </c>
      <c r="W152" s="147">
        <v>213910.14</v>
      </c>
      <c r="X152" s="147">
        <v>1606.24</v>
      </c>
      <c r="Y152" s="516"/>
      <c r="Z152" s="153">
        <v>178787.57</v>
      </c>
      <c r="AA152" s="153">
        <v>177291.06</v>
      </c>
      <c r="AB152" s="153">
        <v>1496.5100000000002</v>
      </c>
      <c r="AD152" s="147">
        <v>2161.34</v>
      </c>
      <c r="AE152" s="147">
        <v>2154</v>
      </c>
      <c r="AF152" s="147">
        <v>5.27</v>
      </c>
    </row>
    <row r="153" spans="1:36" s="134" customFormat="1" ht="11.25" x14ac:dyDescent="0.2">
      <c r="A153" s="95" t="s">
        <v>10</v>
      </c>
      <c r="B153" s="95"/>
      <c r="C153" s="95"/>
      <c r="D153" s="234"/>
      <c r="F153" s="147">
        <v>32586.61</v>
      </c>
      <c r="G153" s="147">
        <v>32295.64</v>
      </c>
      <c r="H153" s="147">
        <v>290.97000000000003</v>
      </c>
      <c r="J153" s="147">
        <v>78844.73000000001</v>
      </c>
      <c r="K153" s="147">
        <v>77927.41</v>
      </c>
      <c r="L153" s="147">
        <v>917.31999999999994</v>
      </c>
      <c r="N153" s="147">
        <v>23314.979999999996</v>
      </c>
      <c r="O153" s="147">
        <v>23309.979999999996</v>
      </c>
      <c r="P153" s="147">
        <v>5</v>
      </c>
      <c r="R153" s="147">
        <v>249.62</v>
      </c>
      <c r="S153" s="147">
        <v>249.62</v>
      </c>
      <c r="T153" s="147">
        <v>0</v>
      </c>
      <c r="V153" s="147">
        <v>134995.94</v>
      </c>
      <c r="W153" s="147">
        <v>133782.65</v>
      </c>
      <c r="X153" s="147">
        <v>1213.29</v>
      </c>
      <c r="Y153" s="516"/>
      <c r="Z153" s="153">
        <v>111431.34000000001</v>
      </c>
      <c r="AA153" s="153">
        <v>110223.05</v>
      </c>
      <c r="AB153" s="153">
        <v>1208.29</v>
      </c>
      <c r="AD153" s="147">
        <v>1510.5099999999998</v>
      </c>
      <c r="AE153" s="147">
        <v>1508</v>
      </c>
      <c r="AF153" s="147">
        <v>0</v>
      </c>
    </row>
    <row r="154" spans="1:36" s="134" customFormat="1" ht="11.25" x14ac:dyDescent="0.2">
      <c r="A154" s="694" t="s">
        <v>11</v>
      </c>
      <c r="B154" s="694"/>
      <c r="C154" s="694"/>
      <c r="D154" s="234"/>
      <c r="F154" s="147">
        <v>20866.900000000001</v>
      </c>
      <c r="G154" s="147">
        <v>20745.18</v>
      </c>
      <c r="H154" s="147">
        <v>121.72</v>
      </c>
      <c r="J154" s="147">
        <v>70382.37</v>
      </c>
      <c r="K154" s="147">
        <v>68463.19</v>
      </c>
      <c r="L154" s="147">
        <v>1919</v>
      </c>
      <c r="N154" s="147">
        <v>74257.72</v>
      </c>
      <c r="O154" s="147">
        <v>66210.680000000008</v>
      </c>
      <c r="P154" s="147">
        <v>8047.04</v>
      </c>
      <c r="R154" s="147">
        <v>208.74</v>
      </c>
      <c r="S154" s="147">
        <v>188.74</v>
      </c>
      <c r="T154" s="147">
        <v>20</v>
      </c>
      <c r="V154" s="147">
        <v>165715.73000000001</v>
      </c>
      <c r="W154" s="147">
        <v>155607.78999999998</v>
      </c>
      <c r="X154" s="147">
        <v>10107.759999999998</v>
      </c>
      <c r="Y154" s="516"/>
      <c r="Z154" s="153">
        <v>91249.26999999999</v>
      </c>
      <c r="AA154" s="153">
        <v>89208.37</v>
      </c>
      <c r="AB154" s="153">
        <v>2040.72</v>
      </c>
      <c r="AD154" s="147">
        <v>7968.1600000000008</v>
      </c>
      <c r="AE154" s="147">
        <v>6071</v>
      </c>
      <c r="AF154" s="147">
        <v>1894.3</v>
      </c>
    </row>
    <row r="155" spans="1:36" s="134" customFormat="1" ht="11.25" x14ac:dyDescent="0.2">
      <c r="A155" s="95"/>
      <c r="B155" s="95"/>
      <c r="C155" s="95"/>
      <c r="D155" s="234"/>
      <c r="F155" s="151"/>
      <c r="G155" s="151"/>
      <c r="H155" s="151"/>
      <c r="J155" s="151"/>
      <c r="K155" s="151"/>
      <c r="L155" s="151"/>
      <c r="N155" s="151"/>
      <c r="O155" s="151"/>
      <c r="P155" s="151"/>
      <c r="R155" s="151"/>
      <c r="S155" s="151"/>
      <c r="T155" s="151"/>
      <c r="V155" s="151"/>
      <c r="W155" s="151"/>
      <c r="X155" s="151"/>
      <c r="Y155" s="516"/>
      <c r="Z155" s="153"/>
      <c r="AA155" s="153"/>
      <c r="AB155" s="153"/>
      <c r="AD155" s="151"/>
      <c r="AE155" s="151"/>
      <c r="AF155" s="151"/>
    </row>
    <row r="156" spans="1:36" s="134" customFormat="1" ht="11.25" x14ac:dyDescent="0.2">
      <c r="A156" s="95"/>
      <c r="B156" s="95"/>
      <c r="C156" s="95"/>
      <c r="D156" s="234"/>
      <c r="F156" s="151"/>
      <c r="G156" s="151"/>
      <c r="H156" s="151"/>
      <c r="J156" s="151"/>
      <c r="K156" s="151"/>
      <c r="L156" s="151"/>
      <c r="N156" s="151"/>
      <c r="O156" s="151"/>
      <c r="P156" s="151"/>
      <c r="R156" s="151"/>
      <c r="S156" s="151"/>
      <c r="T156" s="151"/>
      <c r="V156" s="151"/>
      <c r="W156" s="151"/>
      <c r="X156" s="151"/>
      <c r="Y156" s="516"/>
      <c r="Z156" s="153"/>
      <c r="AA156" s="153"/>
      <c r="AB156" s="153"/>
      <c r="AD156" s="151"/>
      <c r="AE156" s="151"/>
      <c r="AF156" s="151"/>
    </row>
    <row r="157" spans="1:36" s="134" customFormat="1" ht="11.25" x14ac:dyDescent="0.2">
      <c r="A157" s="95"/>
      <c r="B157" s="95"/>
      <c r="C157" s="95"/>
      <c r="D157" s="234"/>
      <c r="F157" s="151"/>
      <c r="G157" s="151"/>
      <c r="H157" s="151"/>
      <c r="J157" s="151"/>
      <c r="K157" s="151"/>
      <c r="L157" s="151"/>
      <c r="N157" s="151"/>
      <c r="O157" s="151"/>
      <c r="P157" s="151"/>
      <c r="R157" s="151"/>
      <c r="S157" s="151"/>
      <c r="T157" s="151"/>
      <c r="V157" s="151"/>
      <c r="W157" s="151"/>
      <c r="X157" s="151"/>
      <c r="Y157" s="516"/>
      <c r="Z157" s="153"/>
      <c r="AA157" s="153"/>
      <c r="AB157" s="153"/>
      <c r="AD157" s="151"/>
      <c r="AE157" s="151"/>
      <c r="AF157" s="151"/>
    </row>
    <row r="158" spans="1:36" s="134" customFormat="1" ht="11.25" x14ac:dyDescent="0.2">
      <c r="A158" s="698" t="s">
        <v>7</v>
      </c>
      <c r="B158" s="699"/>
      <c r="C158" s="700"/>
      <c r="D158" s="135"/>
      <c r="E158" s="232"/>
      <c r="F158" s="140">
        <v>405717.14000000007</v>
      </c>
      <c r="G158" s="140">
        <v>400334.32000000007</v>
      </c>
      <c r="H158" s="140">
        <v>4076.0099999999998</v>
      </c>
      <c r="I158" s="232"/>
      <c r="J158" s="140">
        <v>215898.71999999997</v>
      </c>
      <c r="K158" s="140">
        <v>208100.59999999995</v>
      </c>
      <c r="L158" s="140">
        <v>7798.1200000000008</v>
      </c>
      <c r="M158" s="232"/>
      <c r="N158" s="140">
        <v>125873.34000000004</v>
      </c>
      <c r="O158" s="140">
        <v>120369.53000000001</v>
      </c>
      <c r="P158" s="140">
        <v>5503.81</v>
      </c>
      <c r="Q158" s="232"/>
      <c r="R158" s="140">
        <v>17694.919999999998</v>
      </c>
      <c r="S158" s="140">
        <v>17685.57</v>
      </c>
      <c r="T158" s="140">
        <v>9.35</v>
      </c>
      <c r="U158" s="232"/>
      <c r="V158" s="465">
        <v>765184.12000000011</v>
      </c>
      <c r="W158" s="465">
        <v>746490.01999999979</v>
      </c>
      <c r="X158" s="465">
        <v>17387.29</v>
      </c>
      <c r="Y158" s="149"/>
      <c r="Z158" s="153">
        <v>621615.8600000001</v>
      </c>
      <c r="AA158" s="153">
        <v>608434.92000000004</v>
      </c>
      <c r="AB158" s="153">
        <v>11874.130000000001</v>
      </c>
      <c r="AC158" s="153"/>
      <c r="AD158" s="140">
        <v>48204.859999999993</v>
      </c>
      <c r="AE158" s="140">
        <v>40455.319999999992</v>
      </c>
      <c r="AF158" s="140">
        <v>7749.54</v>
      </c>
      <c r="AG158" s="232"/>
      <c r="AI158" s="153"/>
    </row>
    <row r="159" spans="1:36" s="134" customFormat="1" ht="11.25" x14ac:dyDescent="0.2">
      <c r="B159" s="134" t="s">
        <v>224</v>
      </c>
      <c r="D159" s="135"/>
      <c r="F159" s="138"/>
      <c r="G159" s="138"/>
      <c r="H159" s="137"/>
      <c r="J159" s="138"/>
      <c r="K159" s="138"/>
      <c r="L159" s="138"/>
      <c r="N159" s="138"/>
      <c r="O159" s="138"/>
      <c r="P159" s="138"/>
      <c r="R159" s="138"/>
      <c r="S159" s="138"/>
      <c r="T159" s="138"/>
      <c r="V159" s="30"/>
      <c r="W159" s="30"/>
      <c r="X159" s="30"/>
      <c r="AD159" s="138"/>
      <c r="AE159" s="138"/>
      <c r="AF159" s="138"/>
    </row>
    <row r="160" spans="1:36" s="134" customFormat="1" ht="11.25" x14ac:dyDescent="0.2">
      <c r="A160" s="694" t="s">
        <v>8</v>
      </c>
      <c r="B160" s="694"/>
      <c r="C160" s="694"/>
      <c r="D160" s="147"/>
      <c r="F160" s="147">
        <v>267584.75</v>
      </c>
      <c r="G160" s="147">
        <v>264681.55</v>
      </c>
      <c r="H160" s="147">
        <v>2903.2</v>
      </c>
      <c r="J160" s="147">
        <v>38495.700000000004</v>
      </c>
      <c r="K160" s="147">
        <v>37427.160000000003</v>
      </c>
      <c r="L160" s="147">
        <v>1068.54</v>
      </c>
      <c r="N160" s="147">
        <v>8621.7900000000009</v>
      </c>
      <c r="O160" s="147">
        <v>8621.7900000000009</v>
      </c>
      <c r="P160" s="147">
        <v>0</v>
      </c>
      <c r="R160" s="147">
        <v>6951.41</v>
      </c>
      <c r="S160" s="147">
        <v>6948.0599999999995</v>
      </c>
      <c r="T160" s="147">
        <v>3.35</v>
      </c>
      <c r="V160" s="147">
        <v>321653.65000000002</v>
      </c>
      <c r="W160" s="147">
        <v>317678.55999999994</v>
      </c>
      <c r="X160" s="147">
        <v>3975.0899999999997</v>
      </c>
      <c r="Y160" s="516"/>
      <c r="Z160" s="153">
        <v>306080.45</v>
      </c>
      <c r="AA160" s="153">
        <v>302108.70999999996</v>
      </c>
      <c r="AB160" s="153">
        <v>3971.74</v>
      </c>
      <c r="AC160" s="144"/>
      <c r="AD160" s="147">
        <v>21640.39</v>
      </c>
      <c r="AE160" s="147">
        <v>15151.690000000002</v>
      </c>
      <c r="AF160" s="147">
        <v>6488.7</v>
      </c>
      <c r="AJ160" s="150"/>
    </row>
    <row r="161" spans="1:35" s="134" customFormat="1" ht="11.25" x14ac:dyDescent="0.2">
      <c r="A161" s="694" t="s">
        <v>9</v>
      </c>
      <c r="B161" s="694"/>
      <c r="C161" s="694"/>
      <c r="D161" s="234"/>
      <c r="F161" s="147">
        <v>95741.9</v>
      </c>
      <c r="G161" s="147">
        <v>95249.959999999992</v>
      </c>
      <c r="H161" s="147">
        <v>491.94000000000005</v>
      </c>
      <c r="J161" s="147">
        <v>51550.8</v>
      </c>
      <c r="K161" s="147">
        <v>50845.95</v>
      </c>
      <c r="L161" s="147">
        <v>704.85</v>
      </c>
      <c r="N161" s="147">
        <v>26500.97</v>
      </c>
      <c r="O161" s="147">
        <v>26394.97</v>
      </c>
      <c r="P161" s="147">
        <v>106</v>
      </c>
      <c r="R161" s="147">
        <v>8427.630000000001</v>
      </c>
      <c r="S161" s="147">
        <v>8427.630000000001</v>
      </c>
      <c r="T161" s="147">
        <v>0</v>
      </c>
      <c r="V161" s="147">
        <v>182221.30000000002</v>
      </c>
      <c r="W161" s="147">
        <v>180918.51</v>
      </c>
      <c r="X161" s="147">
        <v>1302.79</v>
      </c>
      <c r="Y161" s="516"/>
      <c r="Z161" s="153">
        <v>147292.70000000001</v>
      </c>
      <c r="AA161" s="153">
        <v>146095.90999999997</v>
      </c>
      <c r="AB161" s="153">
        <v>1196.79</v>
      </c>
      <c r="AD161" s="147">
        <v>18434.019999999997</v>
      </c>
      <c r="AE161" s="147">
        <v>18422.019999999997</v>
      </c>
      <c r="AF161" s="147">
        <v>12</v>
      </c>
    </row>
    <row r="162" spans="1:35" s="134" customFormat="1" ht="11.25" x14ac:dyDescent="0.2">
      <c r="A162" s="95" t="s">
        <v>10</v>
      </c>
      <c r="B162" s="95"/>
      <c r="C162" s="95"/>
      <c r="D162" s="234"/>
      <c r="F162" s="147">
        <v>25563.200000000001</v>
      </c>
      <c r="G162" s="147">
        <v>24003.980000000003</v>
      </c>
      <c r="H162" s="147">
        <v>252.41000000000003</v>
      </c>
      <c r="J162" s="147">
        <v>72608.160000000003</v>
      </c>
      <c r="K162" s="147">
        <v>67332.299999999988</v>
      </c>
      <c r="L162" s="147">
        <v>5275.8600000000006</v>
      </c>
      <c r="N162" s="147">
        <v>32898.509999999995</v>
      </c>
      <c r="O162" s="147">
        <v>32894.249999999993</v>
      </c>
      <c r="P162" s="147">
        <v>4.26</v>
      </c>
      <c r="R162" s="147">
        <v>2251.5199999999995</v>
      </c>
      <c r="S162" s="147">
        <v>2251.5199999999995</v>
      </c>
      <c r="T162" s="147">
        <v>0</v>
      </c>
      <c r="V162" s="147">
        <v>133321.39000000001</v>
      </c>
      <c r="W162" s="147">
        <v>126482.05</v>
      </c>
      <c r="X162" s="147">
        <v>5532.53</v>
      </c>
      <c r="Y162" s="516"/>
      <c r="Z162" s="153">
        <v>98171.36</v>
      </c>
      <c r="AA162" s="153">
        <v>91336.28</v>
      </c>
      <c r="AB162" s="153">
        <v>5528.27</v>
      </c>
      <c r="AD162" s="147">
        <v>1998.4699999999998</v>
      </c>
      <c r="AE162" s="147">
        <v>1998.4699999999998</v>
      </c>
      <c r="AF162" s="147">
        <v>0</v>
      </c>
    </row>
    <row r="163" spans="1:35" s="134" customFormat="1" ht="11.25" x14ac:dyDescent="0.2">
      <c r="A163" s="694" t="s">
        <v>11</v>
      </c>
      <c r="B163" s="694"/>
      <c r="C163" s="694"/>
      <c r="D163" s="234"/>
      <c r="F163" s="147">
        <v>16827.29</v>
      </c>
      <c r="G163" s="147">
        <v>16398.830000000002</v>
      </c>
      <c r="H163" s="147">
        <v>428.46</v>
      </c>
      <c r="J163" s="147">
        <v>53244.060000000005</v>
      </c>
      <c r="K163" s="147">
        <v>52495.19</v>
      </c>
      <c r="L163" s="147">
        <v>748.87</v>
      </c>
      <c r="N163" s="147">
        <v>57852.07</v>
      </c>
      <c r="O163" s="147">
        <v>52458.520000000004</v>
      </c>
      <c r="P163" s="147">
        <v>5393.55</v>
      </c>
      <c r="R163" s="147">
        <v>64.36</v>
      </c>
      <c r="S163" s="147">
        <v>58.36</v>
      </c>
      <c r="T163" s="147">
        <v>6</v>
      </c>
      <c r="V163" s="147">
        <v>127987.78000000003</v>
      </c>
      <c r="W163" s="147">
        <v>121410.90000000001</v>
      </c>
      <c r="X163" s="147">
        <v>6576.88</v>
      </c>
      <c r="Y163" s="516"/>
      <c r="Z163" s="153">
        <v>70071.350000000006</v>
      </c>
      <c r="AA163" s="153">
        <v>68894.02</v>
      </c>
      <c r="AB163" s="153">
        <v>1177.33</v>
      </c>
      <c r="AD163" s="147">
        <v>6131.98</v>
      </c>
      <c r="AE163" s="147">
        <v>4883.1400000000003</v>
      </c>
      <c r="AF163" s="147">
        <v>1248.8400000000001</v>
      </c>
    </row>
    <row r="164" spans="1:35" s="134" customFormat="1" ht="11.25" x14ac:dyDescent="0.2">
      <c r="A164" s="95"/>
      <c r="B164" s="95"/>
      <c r="C164" s="95"/>
      <c r="D164" s="234"/>
      <c r="F164" s="151"/>
      <c r="G164" s="151"/>
      <c r="H164" s="151"/>
      <c r="J164" s="151"/>
      <c r="K164" s="151"/>
      <c r="L164" s="151"/>
      <c r="N164" s="151"/>
      <c r="O164" s="151"/>
      <c r="P164" s="151"/>
      <c r="R164" s="151"/>
      <c r="S164" s="151"/>
      <c r="T164" s="151"/>
      <c r="V164" s="151"/>
      <c r="W164" s="151"/>
      <c r="X164" s="151"/>
      <c r="Y164" s="516"/>
      <c r="Z164" s="153"/>
      <c r="AA164" s="153"/>
      <c r="AB164" s="153"/>
      <c r="AD164" s="151"/>
      <c r="AE164" s="151"/>
      <c r="AF164" s="151"/>
    </row>
    <row r="165" spans="1:35" s="134" customFormat="1" ht="11.25" x14ac:dyDescent="0.2">
      <c r="A165" s="698" t="s">
        <v>7</v>
      </c>
      <c r="B165" s="699"/>
      <c r="C165" s="700"/>
      <c r="D165" s="135"/>
      <c r="E165" s="232"/>
      <c r="F165" s="140">
        <v>396536.10999999993</v>
      </c>
      <c r="G165" s="140">
        <v>389550.86999999994</v>
      </c>
      <c r="H165" s="140">
        <v>6985.2399999999989</v>
      </c>
      <c r="I165" s="232"/>
      <c r="J165" s="140">
        <v>213126.13999999998</v>
      </c>
      <c r="K165" s="140">
        <v>208473.66999999998</v>
      </c>
      <c r="L165" s="140">
        <v>4652.47</v>
      </c>
      <c r="M165" s="232"/>
      <c r="N165" s="140">
        <v>123789.31</v>
      </c>
      <c r="O165" s="140">
        <v>121313.04000000001</v>
      </c>
      <c r="P165" s="140">
        <v>2476.27</v>
      </c>
      <c r="Q165" s="232"/>
      <c r="R165" s="140">
        <v>16996.29</v>
      </c>
      <c r="S165" s="140">
        <v>13773.990000000002</v>
      </c>
      <c r="T165" s="140">
        <v>3222.3</v>
      </c>
      <c r="U165" s="232"/>
      <c r="V165" s="465">
        <f>F165+J165+N165+R165</f>
        <v>750447.84999999986</v>
      </c>
      <c r="W165" s="465">
        <f>G165+K165+O165+S165</f>
        <v>733111.57</v>
      </c>
      <c r="X165" s="465">
        <f>H165+L165+P165+T165</f>
        <v>17336.28</v>
      </c>
      <c r="Y165" s="149"/>
      <c r="Z165" s="153">
        <v>609662.24999999988</v>
      </c>
      <c r="AA165" s="153">
        <v>598024.53999999992</v>
      </c>
      <c r="AB165" s="153">
        <v>11637.71</v>
      </c>
      <c r="AC165" s="153"/>
      <c r="AD165" s="140">
        <v>28429.9</v>
      </c>
      <c r="AE165" s="140">
        <v>26450</v>
      </c>
      <c r="AF165" s="140">
        <v>1974.6399999999999</v>
      </c>
      <c r="AG165" s="232"/>
      <c r="AI165" s="153"/>
    </row>
    <row r="166" spans="1:35" s="134" customFormat="1" ht="11.25" x14ac:dyDescent="0.2">
      <c r="B166" s="134" t="s">
        <v>225</v>
      </c>
      <c r="D166" s="135"/>
      <c r="F166" s="138"/>
      <c r="G166" s="138"/>
      <c r="H166" s="137"/>
      <c r="J166" s="138"/>
      <c r="K166" s="138"/>
      <c r="L166" s="138"/>
      <c r="N166" s="138"/>
      <c r="O166" s="138"/>
      <c r="P166" s="138"/>
      <c r="R166" s="138"/>
      <c r="S166" s="138"/>
      <c r="T166" s="138"/>
      <c r="V166" s="30"/>
      <c r="W166" s="30"/>
      <c r="X166" s="30"/>
      <c r="AD166" s="138"/>
      <c r="AE166" s="138"/>
      <c r="AF166" s="138"/>
    </row>
    <row r="167" spans="1:35" s="134" customFormat="1" ht="11.25" x14ac:dyDescent="0.2">
      <c r="A167" s="694" t="s">
        <v>8</v>
      </c>
      <c r="B167" s="694"/>
      <c r="C167" s="694"/>
      <c r="D167" s="147"/>
      <c r="F167" s="147">
        <v>258081.91</v>
      </c>
      <c r="G167" s="147">
        <v>253885.09</v>
      </c>
      <c r="H167" s="147">
        <v>4196.82</v>
      </c>
      <c r="J167" s="147">
        <v>35037.4</v>
      </c>
      <c r="K167" s="147">
        <v>33587.4</v>
      </c>
      <c r="L167" s="147">
        <v>1450</v>
      </c>
      <c r="N167" s="147">
        <v>32514</v>
      </c>
      <c r="O167" s="147">
        <v>32506</v>
      </c>
      <c r="P167" s="147">
        <v>8</v>
      </c>
      <c r="R167" s="147">
        <v>4613.5</v>
      </c>
      <c r="S167" s="147">
        <v>4341.2</v>
      </c>
      <c r="T167" s="147">
        <v>272.3</v>
      </c>
      <c r="V167" s="147">
        <f t="shared" ref="V167:X170" si="5">F167+J167+N167+R167</f>
        <v>330246.81</v>
      </c>
      <c r="W167" s="147">
        <f t="shared" si="5"/>
        <v>324319.69</v>
      </c>
      <c r="X167" s="147">
        <f t="shared" si="5"/>
        <v>5927.12</v>
      </c>
      <c r="Y167" s="516"/>
      <c r="Z167" s="153">
        <v>293119.31</v>
      </c>
      <c r="AA167" s="153">
        <v>287472.49</v>
      </c>
      <c r="AB167" s="153">
        <v>5646.82</v>
      </c>
      <c r="AC167" s="144"/>
      <c r="AD167" s="147">
        <v>2295.4800000000005</v>
      </c>
      <c r="AE167" s="147">
        <v>1394</v>
      </c>
      <c r="AF167" s="147">
        <v>900.86</v>
      </c>
    </row>
    <row r="168" spans="1:35" s="134" customFormat="1" ht="11.25" x14ac:dyDescent="0.2">
      <c r="A168" s="694" t="s">
        <v>9</v>
      </c>
      <c r="B168" s="694"/>
      <c r="C168" s="694"/>
      <c r="D168" s="234"/>
      <c r="F168" s="147">
        <v>97512.06</v>
      </c>
      <c r="G168" s="147">
        <v>96651.14</v>
      </c>
      <c r="H168" s="147">
        <v>860.92</v>
      </c>
      <c r="J168" s="147">
        <v>51506.3</v>
      </c>
      <c r="K168" s="147">
        <v>50958.1</v>
      </c>
      <c r="L168" s="147">
        <v>548.20000000000005</v>
      </c>
      <c r="N168" s="147">
        <v>26355.46</v>
      </c>
      <c r="O168" s="147">
        <v>26206.46</v>
      </c>
      <c r="P168" s="147">
        <v>149</v>
      </c>
      <c r="R168" s="147">
        <v>7942.77</v>
      </c>
      <c r="S168" s="147">
        <v>7942.77</v>
      </c>
      <c r="T168" s="147">
        <v>0</v>
      </c>
      <c r="V168" s="147">
        <f t="shared" si="5"/>
        <v>183316.58999999997</v>
      </c>
      <c r="W168" s="147">
        <f t="shared" si="5"/>
        <v>181758.46999999997</v>
      </c>
      <c r="X168" s="147">
        <f t="shared" si="5"/>
        <v>1558.12</v>
      </c>
      <c r="Y168" s="516"/>
      <c r="Z168" s="153">
        <v>149018.35999999999</v>
      </c>
      <c r="AA168" s="153">
        <v>147609.24</v>
      </c>
      <c r="AB168" s="153">
        <v>1409.12</v>
      </c>
      <c r="AD168" s="147">
        <v>10175</v>
      </c>
      <c r="AE168" s="147">
        <v>10175</v>
      </c>
      <c r="AF168" s="147">
        <v>0</v>
      </c>
    </row>
    <row r="169" spans="1:35" s="134" customFormat="1" ht="11.25" x14ac:dyDescent="0.2">
      <c r="A169" s="95" t="s">
        <v>10</v>
      </c>
      <c r="B169" s="95"/>
      <c r="C169" s="95"/>
      <c r="D169" s="234"/>
      <c r="F169" s="147">
        <v>26377.469999999998</v>
      </c>
      <c r="G169" s="147">
        <v>26116.35</v>
      </c>
      <c r="H169" s="147">
        <v>261.12</v>
      </c>
      <c r="J169" s="147">
        <v>71016.37</v>
      </c>
      <c r="K169" s="147">
        <v>68665.63</v>
      </c>
      <c r="L169" s="147">
        <v>2350.7399999999998</v>
      </c>
      <c r="N169" s="147">
        <v>20198.66</v>
      </c>
      <c r="O169" s="147">
        <v>20192.16</v>
      </c>
      <c r="P169" s="147">
        <v>6.5</v>
      </c>
      <c r="R169" s="147">
        <v>1439.6000000000001</v>
      </c>
      <c r="S169" s="147">
        <v>1439.6000000000001</v>
      </c>
      <c r="T169" s="147">
        <v>0</v>
      </c>
      <c r="V169" s="147">
        <f t="shared" si="5"/>
        <v>119032.1</v>
      </c>
      <c r="W169" s="147">
        <f t="shared" si="5"/>
        <v>116413.74000000002</v>
      </c>
      <c r="X169" s="147">
        <f t="shared" si="5"/>
        <v>2618.3599999999997</v>
      </c>
      <c r="Y169" s="516"/>
      <c r="Z169" s="153">
        <v>97393.84</v>
      </c>
      <c r="AA169" s="153">
        <v>94781.98000000001</v>
      </c>
      <c r="AB169" s="153">
        <v>2611.8599999999997</v>
      </c>
      <c r="AD169" s="147">
        <v>10958.94</v>
      </c>
      <c r="AE169" s="147">
        <v>10958</v>
      </c>
      <c r="AF169" s="147">
        <v>0</v>
      </c>
    </row>
    <row r="170" spans="1:35" s="134" customFormat="1" ht="11.25" x14ac:dyDescent="0.2">
      <c r="A170" s="694" t="s">
        <v>11</v>
      </c>
      <c r="B170" s="694"/>
      <c r="C170" s="694"/>
      <c r="D170" s="234"/>
      <c r="F170" s="147">
        <v>14564.67</v>
      </c>
      <c r="G170" s="147">
        <v>12898.29</v>
      </c>
      <c r="H170" s="147">
        <v>1666.3799999999997</v>
      </c>
      <c r="J170" s="147">
        <v>55566.07</v>
      </c>
      <c r="K170" s="147">
        <v>55262.54</v>
      </c>
      <c r="L170" s="147">
        <v>303.53000000000009</v>
      </c>
      <c r="N170" s="147">
        <v>44721.19</v>
      </c>
      <c r="O170" s="147">
        <v>42408.42</v>
      </c>
      <c r="P170" s="147">
        <v>2312.77</v>
      </c>
      <c r="R170" s="147">
        <v>3000.42</v>
      </c>
      <c r="S170" s="147">
        <v>50.419999999999995</v>
      </c>
      <c r="T170" s="147">
        <v>2950</v>
      </c>
      <c r="V170" s="147">
        <f t="shared" si="5"/>
        <v>117852.35</v>
      </c>
      <c r="W170" s="147">
        <f t="shared" si="5"/>
        <v>110619.67</v>
      </c>
      <c r="X170" s="147">
        <f t="shared" si="5"/>
        <v>7232.68</v>
      </c>
      <c r="Y170" s="516"/>
      <c r="Z170" s="153">
        <v>70130.740000000005</v>
      </c>
      <c r="AA170" s="153">
        <v>68160.83</v>
      </c>
      <c r="AB170" s="153">
        <v>1969.9099999999999</v>
      </c>
      <c r="AD170" s="147">
        <v>5000.4799999999996</v>
      </c>
      <c r="AE170" s="147">
        <v>3923</v>
      </c>
      <c r="AF170" s="147">
        <v>1073.78</v>
      </c>
    </row>
    <row r="171" spans="1:35" s="134" customFormat="1" ht="11.25" x14ac:dyDescent="0.2">
      <c r="A171" s="95"/>
      <c r="B171" s="95"/>
      <c r="C171" s="95"/>
      <c r="D171" s="234"/>
      <c r="F171" s="151"/>
      <c r="G171" s="151"/>
      <c r="H171" s="151"/>
      <c r="J171" s="151"/>
      <c r="K171" s="151"/>
      <c r="L171" s="151"/>
      <c r="N171" s="151"/>
      <c r="O171" s="151"/>
      <c r="P171" s="151"/>
      <c r="R171" s="151"/>
      <c r="S171" s="151"/>
      <c r="T171" s="151"/>
      <c r="V171" s="151"/>
      <c r="W171" s="151"/>
      <c r="X171" s="151"/>
      <c r="Y171" s="516"/>
      <c r="Z171" s="153"/>
      <c r="AA171" s="153"/>
      <c r="AB171" s="153"/>
      <c r="AD171" s="151"/>
      <c r="AE171" s="151"/>
      <c r="AF171" s="151"/>
    </row>
    <row r="172" spans="1:35" s="134" customFormat="1" ht="11.25" x14ac:dyDescent="0.2">
      <c r="A172" s="721" t="s">
        <v>7</v>
      </c>
      <c r="B172" s="722"/>
      <c r="C172" s="723"/>
      <c r="D172" s="238"/>
      <c r="E172" s="241"/>
      <c r="F172" s="240">
        <v>375774.0400000001</v>
      </c>
      <c r="G172" s="240">
        <v>365555.27000000008</v>
      </c>
      <c r="H172" s="240">
        <v>10218.77</v>
      </c>
      <c r="I172" s="241"/>
      <c r="J172" s="240">
        <v>151513.07999999999</v>
      </c>
      <c r="K172" s="240">
        <v>148184.28999999998</v>
      </c>
      <c r="L172" s="240">
        <v>3328.79</v>
      </c>
      <c r="M172" s="241"/>
      <c r="N172" s="240">
        <v>123571.99</v>
      </c>
      <c r="O172" s="240">
        <v>115476.19999999998</v>
      </c>
      <c r="P172" s="240">
        <v>8095.79</v>
      </c>
      <c r="Q172" s="241"/>
      <c r="R172" s="240">
        <v>14228.02</v>
      </c>
      <c r="S172" s="240">
        <v>13068.420000000002</v>
      </c>
      <c r="T172" s="240">
        <v>1159.5999999999999</v>
      </c>
      <c r="U172" s="241"/>
      <c r="V172" s="475">
        <f>F172+J172+N172+R172</f>
        <v>665087.13000000012</v>
      </c>
      <c r="W172" s="475">
        <f>G172+K172+O172+S172</f>
        <v>642284.18000000005</v>
      </c>
      <c r="X172" s="475">
        <f>H172+L172+P172+T172</f>
        <v>22802.95</v>
      </c>
      <c r="Y172" s="516"/>
      <c r="Z172" s="184">
        <v>527287.12000000011</v>
      </c>
      <c r="AA172" s="184">
        <v>513739.56000000006</v>
      </c>
      <c r="AB172" s="184">
        <v>13547.560000000001</v>
      </c>
      <c r="AD172" s="240">
        <v>27401.169999999995</v>
      </c>
      <c r="AE172" s="240">
        <v>25215</v>
      </c>
      <c r="AF172" s="240">
        <v>2178.4299999999998</v>
      </c>
      <c r="AG172" s="241"/>
    </row>
    <row r="173" spans="1:35" s="134" customFormat="1" ht="11.25" x14ac:dyDescent="0.2">
      <c r="A173" s="239"/>
      <c r="B173" s="239" t="s">
        <v>226</v>
      </c>
      <c r="C173" s="239"/>
      <c r="D173" s="238"/>
      <c r="E173" s="239"/>
      <c r="F173" s="243"/>
      <c r="G173" s="243"/>
      <c r="H173" s="244"/>
      <c r="I173" s="239"/>
      <c r="J173" s="243"/>
      <c r="K173" s="243"/>
      <c r="L173" s="243"/>
      <c r="M173" s="239"/>
      <c r="N173" s="243"/>
      <c r="O173" s="243"/>
      <c r="P173" s="243"/>
      <c r="Q173" s="239"/>
      <c r="R173" s="243"/>
      <c r="S173" s="243"/>
      <c r="T173" s="243"/>
      <c r="U173" s="239"/>
      <c r="V173" s="245"/>
      <c r="W173" s="245"/>
      <c r="X173" s="245"/>
      <c r="Y173" s="516"/>
      <c r="Z173" s="153"/>
      <c r="AA173" s="153"/>
      <c r="AB173" s="153"/>
      <c r="AD173" s="243"/>
      <c r="AE173" s="243"/>
      <c r="AF173" s="243"/>
      <c r="AG173" s="239"/>
    </row>
    <row r="174" spans="1:35" s="134" customFormat="1" ht="11.25" x14ac:dyDescent="0.2">
      <c r="A174" s="720" t="s">
        <v>8</v>
      </c>
      <c r="B174" s="720"/>
      <c r="C174" s="720"/>
      <c r="D174" s="247"/>
      <c r="E174" s="239"/>
      <c r="F174" s="247">
        <v>222361.39</v>
      </c>
      <c r="G174" s="247">
        <v>218791.74</v>
      </c>
      <c r="H174" s="247">
        <v>3569.65</v>
      </c>
      <c r="I174" s="239"/>
      <c r="J174" s="247">
        <v>30951.370000000003</v>
      </c>
      <c r="K174" s="247">
        <v>29679.910000000003</v>
      </c>
      <c r="L174" s="247">
        <v>1271.46</v>
      </c>
      <c r="M174" s="239"/>
      <c r="N174" s="247">
        <v>7339.15</v>
      </c>
      <c r="O174" s="247">
        <v>5899</v>
      </c>
      <c r="P174" s="247">
        <v>1440.15</v>
      </c>
      <c r="Q174" s="239"/>
      <c r="R174" s="247">
        <v>4923.8100000000004</v>
      </c>
      <c r="S174" s="247">
        <v>3807.21</v>
      </c>
      <c r="T174" s="247">
        <v>1116.5999999999999</v>
      </c>
      <c r="U174" s="239"/>
      <c r="V174" s="247">
        <f t="shared" ref="V174:X177" si="6">F174+J174+N174+R174</f>
        <v>265575.72000000003</v>
      </c>
      <c r="W174" s="247">
        <f t="shared" si="6"/>
        <v>258177.86</v>
      </c>
      <c r="X174" s="247">
        <f t="shared" si="6"/>
        <v>7397.8600000000006</v>
      </c>
      <c r="Y174" s="516"/>
      <c r="Z174" s="153">
        <v>253312.76</v>
      </c>
      <c r="AA174" s="153">
        <v>248471.65</v>
      </c>
      <c r="AB174" s="153">
        <v>4841.1100000000006</v>
      </c>
      <c r="AD174" s="247">
        <v>6217.7699999999995</v>
      </c>
      <c r="AE174" s="247">
        <v>5325</v>
      </c>
      <c r="AF174" s="247">
        <v>890.7</v>
      </c>
      <c r="AG174" s="239"/>
    </row>
    <row r="175" spans="1:35" s="134" customFormat="1" ht="11.25" x14ac:dyDescent="0.2">
      <c r="A175" s="720" t="s">
        <v>9</v>
      </c>
      <c r="B175" s="720"/>
      <c r="C175" s="720"/>
      <c r="D175" s="248"/>
      <c r="E175" s="239"/>
      <c r="F175" s="247">
        <v>108969.45</v>
      </c>
      <c r="G175" s="247">
        <v>108129.53000000001</v>
      </c>
      <c r="H175" s="247">
        <v>839.92</v>
      </c>
      <c r="I175" s="239"/>
      <c r="J175" s="247">
        <v>15312.990000000002</v>
      </c>
      <c r="K175" s="247">
        <v>15159.75</v>
      </c>
      <c r="L175" s="247">
        <v>153.24</v>
      </c>
      <c r="M175" s="239"/>
      <c r="N175" s="247">
        <v>28860.93</v>
      </c>
      <c r="O175" s="247">
        <v>27762.93</v>
      </c>
      <c r="P175" s="247">
        <v>1098</v>
      </c>
      <c r="Q175" s="239"/>
      <c r="R175" s="247">
        <v>7618.42</v>
      </c>
      <c r="S175" s="247">
        <v>7618.42</v>
      </c>
      <c r="T175" s="247">
        <v>0</v>
      </c>
      <c r="U175" s="239"/>
      <c r="V175" s="247">
        <f t="shared" si="6"/>
        <v>160761.79</v>
      </c>
      <c r="W175" s="247">
        <f t="shared" si="6"/>
        <v>158670.63000000003</v>
      </c>
      <c r="X175" s="247">
        <f t="shared" si="6"/>
        <v>2091.16</v>
      </c>
      <c r="Y175" s="516"/>
      <c r="Z175" s="153">
        <v>124282.44</v>
      </c>
      <c r="AA175" s="153">
        <v>123289.28000000001</v>
      </c>
      <c r="AB175" s="153">
        <v>993.16</v>
      </c>
      <c r="AD175" s="247">
        <v>14320.12</v>
      </c>
      <c r="AE175" s="247">
        <v>14320</v>
      </c>
      <c r="AF175" s="247">
        <v>0</v>
      </c>
      <c r="AG175" s="239"/>
    </row>
    <row r="176" spans="1:35" s="134" customFormat="1" ht="11.25" x14ac:dyDescent="0.2">
      <c r="A176" s="720" t="s">
        <v>10</v>
      </c>
      <c r="B176" s="720"/>
      <c r="C176" s="720"/>
      <c r="D176" s="248"/>
      <c r="E176" s="239"/>
      <c r="F176" s="247">
        <v>23149.210000000003</v>
      </c>
      <c r="G176" s="247">
        <v>22954.490000000005</v>
      </c>
      <c r="H176" s="247">
        <v>194.72</v>
      </c>
      <c r="I176" s="239"/>
      <c r="J176" s="247">
        <v>73694.78</v>
      </c>
      <c r="K176" s="247">
        <v>72057.45</v>
      </c>
      <c r="L176" s="247">
        <v>1637.33</v>
      </c>
      <c r="M176" s="239"/>
      <c r="N176" s="247">
        <v>34580.050000000003</v>
      </c>
      <c r="O176" s="247">
        <v>33688.26</v>
      </c>
      <c r="P176" s="247">
        <v>891.79</v>
      </c>
      <c r="Q176" s="239"/>
      <c r="R176" s="247">
        <v>1428.95</v>
      </c>
      <c r="S176" s="247">
        <v>1428.95</v>
      </c>
      <c r="T176" s="247">
        <v>0</v>
      </c>
      <c r="U176" s="239"/>
      <c r="V176" s="247">
        <f t="shared" si="6"/>
        <v>132852.99000000002</v>
      </c>
      <c r="W176" s="247">
        <f t="shared" si="6"/>
        <v>130129.15000000001</v>
      </c>
      <c r="X176" s="247">
        <f t="shared" si="6"/>
        <v>2723.84</v>
      </c>
      <c r="Y176" s="516"/>
      <c r="Z176" s="153">
        <v>96843.99</v>
      </c>
      <c r="AA176" s="153">
        <v>95011.94</v>
      </c>
      <c r="AB176" s="153">
        <v>1832.05</v>
      </c>
      <c r="AD176" s="247">
        <v>993.03</v>
      </c>
      <c r="AE176" s="247">
        <v>992</v>
      </c>
      <c r="AF176" s="247">
        <v>0</v>
      </c>
      <c r="AG176" s="239"/>
    </row>
    <row r="177" spans="1:33" s="134" customFormat="1" ht="11.25" x14ac:dyDescent="0.2">
      <c r="A177" s="720" t="s">
        <v>11</v>
      </c>
      <c r="B177" s="720"/>
      <c r="C177" s="720"/>
      <c r="D177" s="248"/>
      <c r="E177" s="239"/>
      <c r="F177" s="247">
        <v>21293.989999999998</v>
      </c>
      <c r="G177" s="247">
        <v>15679.51</v>
      </c>
      <c r="H177" s="247">
        <v>5614.48</v>
      </c>
      <c r="I177" s="239"/>
      <c r="J177" s="247">
        <v>31553.940000000002</v>
      </c>
      <c r="K177" s="247">
        <v>31287.180000000004</v>
      </c>
      <c r="L177" s="247">
        <v>266.76</v>
      </c>
      <c r="M177" s="239"/>
      <c r="N177" s="247">
        <v>52791.859999999993</v>
      </c>
      <c r="O177" s="247">
        <v>48126.009999999995</v>
      </c>
      <c r="P177" s="247">
        <v>4665.8499999999995</v>
      </c>
      <c r="Q177" s="239"/>
      <c r="R177" s="247">
        <v>256.83999999999997</v>
      </c>
      <c r="S177" s="247">
        <v>213.83999999999997</v>
      </c>
      <c r="T177" s="247">
        <v>43</v>
      </c>
      <c r="U177" s="239"/>
      <c r="V177" s="247">
        <f t="shared" si="6"/>
        <v>105896.62999999999</v>
      </c>
      <c r="W177" s="247">
        <f t="shared" si="6"/>
        <v>95306.54</v>
      </c>
      <c r="X177" s="247">
        <f t="shared" si="6"/>
        <v>10590.09</v>
      </c>
      <c r="Y177" s="516"/>
      <c r="Z177" s="153">
        <v>52847.93</v>
      </c>
      <c r="AA177" s="153">
        <v>46966.69</v>
      </c>
      <c r="AB177" s="153">
        <v>5881.24</v>
      </c>
      <c r="AD177" s="247">
        <v>5870.2499999999991</v>
      </c>
      <c r="AE177" s="247">
        <v>4578</v>
      </c>
      <c r="AF177" s="247">
        <v>1287.73</v>
      </c>
      <c r="AG177" s="239"/>
    </row>
    <row r="178" spans="1:33" s="134" customFormat="1" ht="11.25" x14ac:dyDescent="0.2">
      <c r="A178" s="95"/>
      <c r="B178" s="95"/>
      <c r="C178" s="95"/>
      <c r="D178" s="234"/>
      <c r="F178" s="151"/>
      <c r="G178" s="151"/>
      <c r="H178" s="151"/>
      <c r="J178" s="151"/>
      <c r="K178" s="151"/>
      <c r="L178" s="151"/>
      <c r="N178" s="151"/>
      <c r="O178" s="151"/>
      <c r="P178" s="151"/>
      <c r="R178" s="151"/>
      <c r="S178" s="151"/>
      <c r="T178" s="151"/>
      <c r="V178" s="151"/>
      <c r="W178" s="151"/>
      <c r="X178" s="151"/>
      <c r="Y178" s="516"/>
      <c r="Z178" s="153"/>
      <c r="AA178" s="153"/>
      <c r="AB178" s="153"/>
      <c r="AD178" s="151"/>
      <c r="AE178" s="151"/>
      <c r="AF178" s="151"/>
    </row>
    <row r="179" spans="1:33" s="134" customFormat="1" x14ac:dyDescent="0.2">
      <c r="A179" s="95"/>
      <c r="B179" s="95"/>
      <c r="C179" s="517" t="s">
        <v>362</v>
      </c>
      <c r="D179" s="234"/>
      <c r="F179" s="151"/>
      <c r="G179" s="151"/>
      <c r="H179" s="151"/>
      <c r="J179" s="151"/>
      <c r="K179" s="151"/>
      <c r="L179" s="151"/>
      <c r="N179" s="151"/>
      <c r="O179" s="151"/>
      <c r="P179" s="151"/>
      <c r="R179" s="151"/>
      <c r="S179" s="151"/>
      <c r="T179" s="151"/>
      <c r="V179" s="151"/>
      <c r="W179" s="151"/>
      <c r="X179" s="151"/>
      <c r="Y179" s="144"/>
      <c r="AD179" s="151"/>
      <c r="AE179" s="151"/>
      <c r="AF179" s="151"/>
    </row>
    <row r="180" spans="1:33" s="134" customFormat="1" ht="11.25" x14ac:dyDescent="0.2">
      <c r="A180" s="695" t="s">
        <v>7</v>
      </c>
      <c r="B180" s="696"/>
      <c r="C180" s="697"/>
      <c r="D180" s="164"/>
      <c r="E180" s="165"/>
      <c r="F180" s="166">
        <v>425121.11000000004</v>
      </c>
      <c r="G180" s="166">
        <v>412147.82000000007</v>
      </c>
      <c r="H180" s="166">
        <v>12973.289999999999</v>
      </c>
      <c r="I180" s="251"/>
      <c r="J180" s="166">
        <v>139329.25999999998</v>
      </c>
      <c r="K180" s="166">
        <v>136090.18</v>
      </c>
      <c r="L180" s="166">
        <v>3239.0800000000004</v>
      </c>
      <c r="M180" s="251"/>
      <c r="N180" s="166">
        <v>117539.41</v>
      </c>
      <c r="O180" s="166">
        <v>112099.25000000001</v>
      </c>
      <c r="P180" s="166">
        <v>5440.1599999999989</v>
      </c>
      <c r="Q180" s="165"/>
      <c r="R180" s="166">
        <v>18464.84</v>
      </c>
      <c r="S180" s="166">
        <v>13466.84</v>
      </c>
      <c r="T180" s="166">
        <v>4998</v>
      </c>
      <c r="U180" s="165"/>
      <c r="V180" s="166">
        <f>F180+J180+N180+R180</f>
        <v>700454.62</v>
      </c>
      <c r="W180" s="166">
        <f>G180+K180+O180+S180</f>
        <v>673804.09</v>
      </c>
      <c r="X180" s="166">
        <f>H180+L180+P180+T180</f>
        <v>26650.53</v>
      </c>
      <c r="Y180" s="144"/>
      <c r="Z180" s="153">
        <f>F180+J180</f>
        <v>564450.37</v>
      </c>
      <c r="AA180" s="153">
        <f>G180+K180</f>
        <v>548238</v>
      </c>
      <c r="AB180" s="153">
        <f>H180+L180</f>
        <v>16212.369999999999</v>
      </c>
      <c r="AD180" s="166">
        <v>10675.01</v>
      </c>
      <c r="AE180" s="166">
        <v>9157</v>
      </c>
      <c r="AF180" s="166">
        <v>1513.94</v>
      </c>
      <c r="AG180" s="165"/>
    </row>
    <row r="181" spans="1:33" s="134" customFormat="1" ht="11.25" x14ac:dyDescent="0.2">
      <c r="A181" s="165"/>
      <c r="B181" s="165" t="s">
        <v>227</v>
      </c>
      <c r="C181" s="165"/>
      <c r="D181" s="164"/>
      <c r="E181" s="165"/>
      <c r="F181" s="252"/>
      <c r="G181" s="252"/>
      <c r="H181" s="169"/>
      <c r="I181" s="165"/>
      <c r="J181" s="252"/>
      <c r="K181" s="252"/>
      <c r="L181" s="252"/>
      <c r="M181" s="165"/>
      <c r="N181" s="252"/>
      <c r="O181" s="252"/>
      <c r="P181" s="252"/>
      <c r="Q181" s="165"/>
      <c r="R181" s="252"/>
      <c r="S181" s="252"/>
      <c r="T181" s="252"/>
      <c r="U181" s="165"/>
      <c r="V181" s="252"/>
      <c r="W181" s="252"/>
      <c r="X181" s="252"/>
      <c r="Y181" s="144"/>
      <c r="AD181" s="252"/>
      <c r="AE181" s="252"/>
      <c r="AF181" s="252"/>
      <c r="AG181" s="165"/>
    </row>
    <row r="182" spans="1:33" s="134" customFormat="1" ht="11.25" x14ac:dyDescent="0.2">
      <c r="A182" s="686" t="s">
        <v>8</v>
      </c>
      <c r="B182" s="686"/>
      <c r="C182" s="686"/>
      <c r="D182" s="172"/>
      <c r="E182" s="165"/>
      <c r="F182" s="172">
        <v>259030.77</v>
      </c>
      <c r="G182" s="172">
        <v>255082.05000000002</v>
      </c>
      <c r="H182" s="172">
        <v>3948.72</v>
      </c>
      <c r="I182" s="165"/>
      <c r="J182" s="172">
        <v>34715.96</v>
      </c>
      <c r="K182" s="172">
        <v>33218.959999999999</v>
      </c>
      <c r="L182" s="172">
        <v>1497</v>
      </c>
      <c r="M182" s="165"/>
      <c r="N182" s="172">
        <v>7127</v>
      </c>
      <c r="O182" s="172">
        <v>6708</v>
      </c>
      <c r="P182" s="172">
        <v>419</v>
      </c>
      <c r="Q182" s="165"/>
      <c r="R182" s="172">
        <v>6970.2099999999991</v>
      </c>
      <c r="S182" s="172">
        <v>5902.71</v>
      </c>
      <c r="T182" s="172">
        <v>1067.5</v>
      </c>
      <c r="U182" s="165"/>
      <c r="V182" s="172">
        <f t="shared" ref="V182:X185" si="7">F182+J182+N182+R182</f>
        <v>307843.94</v>
      </c>
      <c r="W182" s="172">
        <f t="shared" si="7"/>
        <v>300911.72000000003</v>
      </c>
      <c r="X182" s="172">
        <f t="shared" si="7"/>
        <v>6932.2199999999993</v>
      </c>
      <c r="Y182" s="144"/>
      <c r="Z182" s="153">
        <f>F182+J182</f>
        <v>293746.73</v>
      </c>
      <c r="AA182" s="153">
        <f t="shared" ref="AA182:AB185" si="8">G182+K182</f>
        <v>288301.01</v>
      </c>
      <c r="AB182" s="153">
        <f t="shared" si="8"/>
        <v>5445.7199999999993</v>
      </c>
      <c r="AD182" s="172">
        <v>4636.04</v>
      </c>
      <c r="AE182" s="172">
        <v>4051</v>
      </c>
      <c r="AF182" s="172">
        <v>584.95999999999992</v>
      </c>
      <c r="AG182" s="165"/>
    </row>
    <row r="183" spans="1:33" s="134" customFormat="1" ht="11.25" x14ac:dyDescent="0.2">
      <c r="A183" s="686" t="s">
        <v>9</v>
      </c>
      <c r="B183" s="686"/>
      <c r="C183" s="686"/>
      <c r="D183" s="253"/>
      <c r="E183" s="165"/>
      <c r="F183" s="172">
        <v>109517.39</v>
      </c>
      <c r="G183" s="172">
        <v>108542.29999999999</v>
      </c>
      <c r="H183" s="172">
        <v>975.09</v>
      </c>
      <c r="I183" s="165"/>
      <c r="J183" s="172">
        <v>15945.759999999998</v>
      </c>
      <c r="K183" s="172">
        <v>15817.8</v>
      </c>
      <c r="L183" s="172">
        <v>127.96</v>
      </c>
      <c r="M183" s="165"/>
      <c r="N183" s="172">
        <v>25929.84</v>
      </c>
      <c r="O183" s="172">
        <v>25902.449999999993</v>
      </c>
      <c r="P183" s="172">
        <v>27.39</v>
      </c>
      <c r="Q183" s="165"/>
      <c r="R183" s="172">
        <v>8968.8799999999992</v>
      </c>
      <c r="S183" s="172">
        <v>5058.88</v>
      </c>
      <c r="T183" s="172">
        <v>3910</v>
      </c>
      <c r="U183" s="165"/>
      <c r="V183" s="172">
        <f t="shared" si="7"/>
        <v>160361.87</v>
      </c>
      <c r="W183" s="172">
        <f t="shared" si="7"/>
        <v>155321.43</v>
      </c>
      <c r="X183" s="172">
        <f t="shared" si="7"/>
        <v>5040.4400000000005</v>
      </c>
      <c r="Y183" s="144"/>
      <c r="Z183" s="153">
        <f>F183+J183</f>
        <v>125463.15</v>
      </c>
      <c r="AA183" s="153">
        <f t="shared" si="8"/>
        <v>124360.09999999999</v>
      </c>
      <c r="AB183" s="153">
        <f t="shared" si="8"/>
        <v>1103.05</v>
      </c>
      <c r="AD183" s="172">
        <v>709.39</v>
      </c>
      <c r="AE183" s="172">
        <v>709</v>
      </c>
      <c r="AF183" s="172">
        <v>0</v>
      </c>
      <c r="AG183" s="165"/>
    </row>
    <row r="184" spans="1:33" s="134" customFormat="1" ht="11.25" x14ac:dyDescent="0.2">
      <c r="A184" s="686" t="s">
        <v>10</v>
      </c>
      <c r="B184" s="686"/>
      <c r="C184" s="686"/>
      <c r="D184" s="253"/>
      <c r="E184" s="165"/>
      <c r="F184" s="172">
        <v>32378.280000000002</v>
      </c>
      <c r="G184" s="172">
        <v>31380.5</v>
      </c>
      <c r="H184" s="172">
        <v>997.78</v>
      </c>
      <c r="I184" s="165"/>
      <c r="J184" s="172">
        <v>57981.890000000007</v>
      </c>
      <c r="K184" s="172">
        <v>56950.210000000006</v>
      </c>
      <c r="L184" s="172">
        <v>1031.68</v>
      </c>
      <c r="M184" s="165"/>
      <c r="N184" s="172">
        <v>33079.129999999997</v>
      </c>
      <c r="O184" s="172">
        <v>32422.190000000002</v>
      </c>
      <c r="P184" s="172">
        <v>656.94</v>
      </c>
      <c r="Q184" s="165"/>
      <c r="R184" s="172">
        <v>2229.1600000000003</v>
      </c>
      <c r="S184" s="172">
        <v>2229.1600000000003</v>
      </c>
      <c r="T184" s="172">
        <v>0</v>
      </c>
      <c r="U184" s="165"/>
      <c r="V184" s="172">
        <f t="shared" si="7"/>
        <v>125668.46000000002</v>
      </c>
      <c r="W184" s="172">
        <f t="shared" si="7"/>
        <v>122982.06000000001</v>
      </c>
      <c r="X184" s="172">
        <f t="shared" si="7"/>
        <v>2686.4</v>
      </c>
      <c r="Y184" s="144"/>
      <c r="Z184" s="153">
        <f>F184+J184</f>
        <v>90360.170000000013</v>
      </c>
      <c r="AA184" s="153">
        <f t="shared" si="8"/>
        <v>88330.71</v>
      </c>
      <c r="AB184" s="153">
        <f t="shared" si="8"/>
        <v>2029.46</v>
      </c>
      <c r="AD184" s="172">
        <v>698.97</v>
      </c>
      <c r="AE184" s="172">
        <v>695</v>
      </c>
      <c r="AF184" s="172">
        <v>2.98</v>
      </c>
      <c r="AG184" s="165"/>
    </row>
    <row r="185" spans="1:33" s="134" customFormat="1" ht="11.25" x14ac:dyDescent="0.2">
      <c r="A185" s="686" t="s">
        <v>11</v>
      </c>
      <c r="B185" s="686"/>
      <c r="C185" s="686"/>
      <c r="D185" s="253"/>
      <c r="E185" s="165"/>
      <c r="F185" s="172">
        <v>24194.670000000002</v>
      </c>
      <c r="G185" s="172">
        <v>17142.97</v>
      </c>
      <c r="H185" s="172">
        <v>7051.7</v>
      </c>
      <c r="I185" s="165"/>
      <c r="J185" s="172">
        <v>30685.649999999998</v>
      </c>
      <c r="K185" s="172">
        <v>30103.209999999992</v>
      </c>
      <c r="L185" s="172">
        <v>582.43999999999994</v>
      </c>
      <c r="M185" s="165"/>
      <c r="N185" s="172">
        <v>51403.44</v>
      </c>
      <c r="O185" s="172">
        <v>47066.61</v>
      </c>
      <c r="P185" s="172">
        <v>4336.829999999999</v>
      </c>
      <c r="Q185" s="165"/>
      <c r="R185" s="172">
        <v>296.59000000000003</v>
      </c>
      <c r="S185" s="172">
        <v>276.09000000000003</v>
      </c>
      <c r="T185" s="172">
        <v>20.5</v>
      </c>
      <c r="U185" s="165"/>
      <c r="V185" s="172">
        <f t="shared" si="7"/>
        <v>106580.35</v>
      </c>
      <c r="W185" s="172">
        <f t="shared" si="7"/>
        <v>94588.87999999999</v>
      </c>
      <c r="X185" s="172">
        <f t="shared" si="7"/>
        <v>11991.469999999998</v>
      </c>
      <c r="Y185" s="144"/>
      <c r="Z185" s="153">
        <f>F185+J185</f>
        <v>54880.32</v>
      </c>
      <c r="AA185" s="153">
        <f t="shared" si="8"/>
        <v>47246.179999999993</v>
      </c>
      <c r="AB185" s="153">
        <f t="shared" si="8"/>
        <v>7634.1399999999994</v>
      </c>
      <c r="AD185" s="172">
        <v>4630.6100000000006</v>
      </c>
      <c r="AE185" s="172">
        <v>3702</v>
      </c>
      <c r="AF185" s="172">
        <v>926</v>
      </c>
      <c r="AG185" s="165"/>
    </row>
    <row r="186" spans="1:33" s="134" customFormat="1" ht="11.25" x14ac:dyDescent="0.2">
      <c r="A186" s="95"/>
      <c r="B186" s="95"/>
      <c r="C186" s="95"/>
      <c r="D186" s="234"/>
      <c r="F186" s="151"/>
      <c r="G186" s="151"/>
      <c r="H186" s="151"/>
      <c r="J186" s="151"/>
      <c r="K186" s="151"/>
      <c r="L186" s="151"/>
      <c r="N186" s="151"/>
      <c r="O186" s="151"/>
      <c r="P186" s="151"/>
      <c r="R186" s="151"/>
      <c r="S186" s="151"/>
      <c r="T186" s="151"/>
      <c r="V186" s="151"/>
      <c r="W186" s="151"/>
      <c r="X186" s="151"/>
      <c r="Y186" s="144"/>
      <c r="AD186" s="151"/>
      <c r="AE186" s="151"/>
      <c r="AF186" s="151"/>
    </row>
    <row r="187" spans="1:33" x14ac:dyDescent="0.2">
      <c r="A187" s="687" t="s">
        <v>7</v>
      </c>
      <c r="B187" s="688"/>
      <c r="C187" s="689"/>
      <c r="D187" s="174"/>
      <c r="E187" s="175"/>
      <c r="F187" s="176">
        <v>565635.31000000006</v>
      </c>
      <c r="G187" s="176">
        <v>548645.73</v>
      </c>
      <c r="H187" s="176">
        <v>16989.580000000002</v>
      </c>
      <c r="I187" s="254"/>
      <c r="J187" s="176">
        <v>120002.12000000001</v>
      </c>
      <c r="K187" s="176"/>
      <c r="L187" s="176"/>
      <c r="M187" s="254"/>
      <c r="N187" s="176">
        <v>151645.57000000004</v>
      </c>
      <c r="O187" s="176">
        <v>146626.46000000005</v>
      </c>
      <c r="P187" s="176">
        <v>5019.1099999999997</v>
      </c>
      <c r="Q187" s="175"/>
      <c r="R187" s="176">
        <v>28361.459999999995</v>
      </c>
      <c r="S187" s="176">
        <v>28286.029999999995</v>
      </c>
      <c r="T187" s="176">
        <v>75.430000000000007</v>
      </c>
      <c r="U187" s="175"/>
      <c r="V187" s="176">
        <f>F187+J187+N187+R187-J187</f>
        <v>745642.34000000008</v>
      </c>
      <c r="W187" s="176">
        <f>G187+K187+O187+S187</f>
        <v>723558.22000000009</v>
      </c>
      <c r="X187" s="176">
        <f>H187+L187+P187+T187</f>
        <v>22084.120000000003</v>
      </c>
    </row>
    <row r="188" spans="1:33" s="134" customFormat="1" ht="11.25" x14ac:dyDescent="0.2">
      <c r="A188" s="175"/>
      <c r="B188" s="175" t="s">
        <v>228</v>
      </c>
      <c r="C188" s="175"/>
      <c r="D188" s="174"/>
      <c r="E188" s="175"/>
      <c r="F188" s="255"/>
      <c r="G188" s="255"/>
      <c r="H188" s="179"/>
      <c r="I188" s="175"/>
      <c r="J188" s="255"/>
      <c r="K188" s="255"/>
      <c r="L188" s="255"/>
      <c r="M188" s="175"/>
      <c r="N188" s="255"/>
      <c r="O188" s="255"/>
      <c r="P188" s="255"/>
      <c r="Q188" s="175"/>
      <c r="R188" s="255"/>
      <c r="S188" s="255"/>
      <c r="T188" s="255"/>
      <c r="U188" s="175"/>
      <c r="V188" s="255"/>
      <c r="W188" s="255"/>
      <c r="X188" s="255"/>
      <c r="Y188" s="144"/>
    </row>
    <row r="189" spans="1:33" s="134" customFormat="1" ht="11.25" x14ac:dyDescent="0.2">
      <c r="A189" s="690" t="s">
        <v>8</v>
      </c>
      <c r="B189" s="690"/>
      <c r="C189" s="690"/>
      <c r="D189" s="182"/>
      <c r="E189" s="175"/>
      <c r="F189" s="182">
        <v>312668.95</v>
      </c>
      <c r="G189" s="182">
        <v>306379.7</v>
      </c>
      <c r="H189" s="182">
        <v>6289.25</v>
      </c>
      <c r="I189" s="175"/>
      <c r="J189" s="182"/>
      <c r="K189" s="182"/>
      <c r="L189" s="182"/>
      <c r="M189" s="175"/>
      <c r="N189" s="182">
        <v>16693</v>
      </c>
      <c r="O189" s="182">
        <v>16693</v>
      </c>
      <c r="P189" s="182">
        <v>0</v>
      </c>
      <c r="Q189" s="175"/>
      <c r="R189" s="182">
        <v>11509.78</v>
      </c>
      <c r="S189" s="182">
        <v>11437.53</v>
      </c>
      <c r="T189" s="182">
        <v>72.25</v>
      </c>
      <c r="U189" s="175"/>
      <c r="V189" s="182">
        <f t="shared" ref="V189:X192" si="9">F189+J189+N189+R189</f>
        <v>340871.73000000004</v>
      </c>
      <c r="W189" s="182">
        <f t="shared" si="9"/>
        <v>334510.23000000004</v>
      </c>
      <c r="X189" s="182">
        <f t="shared" si="9"/>
        <v>6361.5</v>
      </c>
    </row>
    <row r="190" spans="1:33" s="134" customFormat="1" ht="11.25" x14ac:dyDescent="0.2">
      <c r="A190" s="690" t="s">
        <v>9</v>
      </c>
      <c r="B190" s="690"/>
      <c r="C190" s="690"/>
      <c r="D190" s="256"/>
      <c r="E190" s="175"/>
      <c r="F190" s="182">
        <v>123041.11</v>
      </c>
      <c r="G190" s="182">
        <v>121941.16</v>
      </c>
      <c r="H190" s="182">
        <v>1099.9499999999998</v>
      </c>
      <c r="I190" s="175"/>
      <c r="J190" s="182"/>
      <c r="K190" s="182"/>
      <c r="L190" s="182"/>
      <c r="M190" s="175"/>
      <c r="N190" s="182">
        <v>36251.42</v>
      </c>
      <c r="O190" s="182">
        <v>36251.42</v>
      </c>
      <c r="P190" s="182">
        <v>0</v>
      </c>
      <c r="Q190" s="175"/>
      <c r="R190" s="182">
        <v>11266.39</v>
      </c>
      <c r="S190" s="182">
        <v>11266.39</v>
      </c>
      <c r="T190" s="182">
        <v>0</v>
      </c>
      <c r="U190" s="175"/>
      <c r="V190" s="182">
        <f t="shared" si="9"/>
        <v>170558.91999999998</v>
      </c>
      <c r="W190" s="182">
        <f t="shared" si="9"/>
        <v>169458.97000000003</v>
      </c>
      <c r="X190" s="182">
        <f t="shared" si="9"/>
        <v>1099.9499999999998</v>
      </c>
      <c r="Y190" s="144"/>
    </row>
    <row r="191" spans="1:33" s="134" customFormat="1" ht="11.25" x14ac:dyDescent="0.2">
      <c r="A191" s="690" t="s">
        <v>10</v>
      </c>
      <c r="B191" s="690"/>
      <c r="C191" s="690"/>
      <c r="D191" s="256"/>
      <c r="E191" s="175"/>
      <c r="F191" s="182">
        <v>81888.680000000008</v>
      </c>
      <c r="G191" s="182">
        <v>80068.14</v>
      </c>
      <c r="H191" s="182">
        <v>1820.54</v>
      </c>
      <c r="I191" s="175"/>
      <c r="J191" s="182"/>
      <c r="K191" s="182"/>
      <c r="L191" s="182"/>
      <c r="M191" s="175"/>
      <c r="N191" s="182">
        <v>43097.17</v>
      </c>
      <c r="O191" s="182">
        <v>43092.75</v>
      </c>
      <c r="P191" s="182">
        <v>4.42</v>
      </c>
      <c r="Q191" s="175"/>
      <c r="R191" s="182">
        <v>4081.7</v>
      </c>
      <c r="S191" s="182">
        <v>4081.7</v>
      </c>
      <c r="T191" s="182">
        <v>0</v>
      </c>
      <c r="U191" s="175"/>
      <c r="V191" s="182">
        <f t="shared" si="9"/>
        <v>129067.55</v>
      </c>
      <c r="W191" s="182">
        <f t="shared" si="9"/>
        <v>127242.59</v>
      </c>
      <c r="X191" s="182">
        <f t="shared" si="9"/>
        <v>1824.96</v>
      </c>
      <c r="Y191" s="144"/>
    </row>
    <row r="192" spans="1:33" s="134" customFormat="1" ht="11.25" x14ac:dyDescent="0.2">
      <c r="A192" s="690" t="s">
        <v>11</v>
      </c>
      <c r="B192" s="690"/>
      <c r="C192" s="690"/>
      <c r="D192" s="256"/>
      <c r="E192" s="175"/>
      <c r="F192" s="182">
        <v>48036.569999999992</v>
      </c>
      <c r="G192" s="182">
        <v>40256.729999999996</v>
      </c>
      <c r="H192" s="182">
        <v>7779.84</v>
      </c>
      <c r="I192" s="175"/>
      <c r="J192" s="182"/>
      <c r="K192" s="182"/>
      <c r="L192" s="182"/>
      <c r="M192" s="175"/>
      <c r="N192" s="182">
        <v>55603.979999999996</v>
      </c>
      <c r="O192" s="182">
        <v>50589.289999999994</v>
      </c>
      <c r="P192" s="182">
        <v>5014.6899999999996</v>
      </c>
      <c r="Q192" s="175"/>
      <c r="R192" s="182">
        <v>1503.5900000000001</v>
      </c>
      <c r="S192" s="182">
        <v>1500.41</v>
      </c>
      <c r="T192" s="182">
        <v>3.18</v>
      </c>
      <c r="U192" s="175"/>
      <c r="V192" s="182">
        <f t="shared" si="9"/>
        <v>105144.13999999998</v>
      </c>
      <c r="W192" s="182">
        <f t="shared" si="9"/>
        <v>92346.43</v>
      </c>
      <c r="X192" s="182">
        <f t="shared" si="9"/>
        <v>12797.71</v>
      </c>
      <c r="Y192" s="144"/>
    </row>
    <row r="193" spans="1:25" s="134" customFormat="1" ht="11.25" x14ac:dyDescent="0.2">
      <c r="A193" s="95"/>
      <c r="B193" s="95"/>
      <c r="C193" s="95"/>
      <c r="D193" s="234"/>
      <c r="F193" s="151"/>
      <c r="G193" s="151"/>
      <c r="H193" s="151"/>
      <c r="J193" s="151"/>
      <c r="K193" s="151"/>
      <c r="L193" s="151"/>
      <c r="N193" s="151"/>
      <c r="O193" s="151"/>
      <c r="P193" s="151"/>
      <c r="R193" s="151"/>
      <c r="S193" s="151"/>
      <c r="T193" s="151"/>
      <c r="V193" s="151"/>
      <c r="W193" s="151"/>
      <c r="X193" s="151"/>
      <c r="Y193" s="144"/>
    </row>
    <row r="194" spans="1:25" x14ac:dyDescent="0.2">
      <c r="N194" s="119"/>
      <c r="O194" s="119"/>
      <c r="P194" s="119"/>
      <c r="V194" s="119"/>
      <c r="W194" s="119"/>
      <c r="X194" s="119"/>
    </row>
    <row r="195" spans="1:25" x14ac:dyDescent="0.2">
      <c r="A195" s="691" t="s">
        <v>7</v>
      </c>
      <c r="B195" s="692"/>
      <c r="C195" s="693"/>
      <c r="D195" s="188"/>
      <c r="E195" s="134"/>
      <c r="F195" s="190">
        <v>535021.84999999986</v>
      </c>
      <c r="G195" s="190">
        <v>513718.90980499989</v>
      </c>
      <c r="H195" s="190">
        <v>21302.940195000003</v>
      </c>
      <c r="I195" s="257"/>
      <c r="J195" s="190">
        <v>98177.930000000008</v>
      </c>
      <c r="K195" s="190"/>
      <c r="L195" s="190"/>
      <c r="M195" s="257"/>
      <c r="N195" s="190">
        <v>183191.00199999998</v>
      </c>
      <c r="O195" s="190">
        <v>177158.80199999997</v>
      </c>
      <c r="P195" s="190">
        <v>6032.17</v>
      </c>
      <c r="Q195" s="134"/>
      <c r="R195" s="190">
        <v>35197.793999999994</v>
      </c>
      <c r="S195" s="190">
        <v>35100.563999999998</v>
      </c>
      <c r="T195" s="190">
        <v>97.22999999999999</v>
      </c>
      <c r="U195" s="134"/>
      <c r="V195" s="190">
        <f>F195+J195+N195+R195-J195</f>
        <v>753410.64599999983</v>
      </c>
      <c r="W195" s="190">
        <f>G195+K195+O195+S195</f>
        <v>725978.27580499987</v>
      </c>
      <c r="X195" s="190">
        <f>H195+L195+P195+T195</f>
        <v>27432.340195000001</v>
      </c>
      <c r="Y195" s="144"/>
    </row>
    <row r="196" spans="1:25" x14ac:dyDescent="0.2">
      <c r="A196" s="189"/>
      <c r="B196" s="189" t="s">
        <v>229</v>
      </c>
      <c r="C196" s="189"/>
      <c r="D196" s="188"/>
      <c r="E196" s="134"/>
      <c r="F196" s="258"/>
      <c r="G196" s="258"/>
      <c r="H196" s="259"/>
      <c r="I196" s="189"/>
      <c r="J196" s="258"/>
      <c r="K196" s="258"/>
      <c r="L196" s="258"/>
      <c r="M196" s="189"/>
      <c r="N196" s="258"/>
      <c r="O196" s="258"/>
      <c r="P196" s="258"/>
      <c r="Q196" s="134"/>
      <c r="R196" s="258"/>
      <c r="S196" s="258"/>
      <c r="T196" s="258"/>
      <c r="U196" s="134"/>
      <c r="V196" s="258"/>
      <c r="W196" s="258"/>
      <c r="X196" s="258"/>
    </row>
    <row r="197" spans="1:25" x14ac:dyDescent="0.2">
      <c r="A197" s="678" t="s">
        <v>8</v>
      </c>
      <c r="B197" s="678"/>
      <c r="C197" s="678"/>
      <c r="D197" s="195"/>
      <c r="E197" s="134"/>
      <c r="F197" s="195">
        <v>298638.07999999996</v>
      </c>
      <c r="G197" s="195">
        <v>283266.56339999998</v>
      </c>
      <c r="H197" s="195">
        <v>15371.516599999999</v>
      </c>
      <c r="I197" s="189"/>
      <c r="J197" s="195"/>
      <c r="K197" s="195"/>
      <c r="L197" s="195"/>
      <c r="M197" s="189"/>
      <c r="N197" s="195">
        <v>19032.879999999997</v>
      </c>
      <c r="O197" s="195">
        <v>19032.879999999997</v>
      </c>
      <c r="P197" s="195">
        <v>0</v>
      </c>
      <c r="Q197" s="134"/>
      <c r="R197" s="195">
        <v>8468.7900000000009</v>
      </c>
      <c r="S197" s="195">
        <v>8378.7900000000009</v>
      </c>
      <c r="T197" s="195">
        <v>90</v>
      </c>
      <c r="U197" s="134"/>
      <c r="V197" s="195">
        <f t="shared" ref="V197:X200" si="10">F197+J197+N197+R197</f>
        <v>326139.74999999994</v>
      </c>
      <c r="W197" s="195">
        <f t="shared" si="10"/>
        <v>310678.23339999997</v>
      </c>
      <c r="X197" s="195">
        <f t="shared" si="10"/>
        <v>15461.516599999999</v>
      </c>
      <c r="Y197" s="144"/>
    </row>
    <row r="198" spans="1:25" x14ac:dyDescent="0.2">
      <c r="A198" s="678" t="s">
        <v>9</v>
      </c>
      <c r="B198" s="678"/>
      <c r="C198" s="678"/>
      <c r="D198" s="260"/>
      <c r="E198" s="134"/>
      <c r="F198" s="195">
        <v>122550.7</v>
      </c>
      <c r="G198" s="195">
        <v>121061.5904</v>
      </c>
      <c r="H198" s="195">
        <v>1489.1096000000002</v>
      </c>
      <c r="I198" s="189"/>
      <c r="J198" s="195"/>
      <c r="K198" s="195"/>
      <c r="L198" s="195"/>
      <c r="M198" s="189"/>
      <c r="N198" s="195">
        <v>46657.75</v>
      </c>
      <c r="O198" s="195">
        <v>44365.72</v>
      </c>
      <c r="P198" s="195">
        <v>2292</v>
      </c>
      <c r="Q198" s="134"/>
      <c r="R198" s="195">
        <v>17901.080000000002</v>
      </c>
      <c r="S198" s="195">
        <v>17901.080000000002</v>
      </c>
      <c r="T198" s="195">
        <v>0</v>
      </c>
      <c r="U198" s="134"/>
      <c r="V198" s="195">
        <f t="shared" si="10"/>
        <v>187109.53000000003</v>
      </c>
      <c r="W198" s="195">
        <f t="shared" si="10"/>
        <v>183328.39040000003</v>
      </c>
      <c r="X198" s="195">
        <f t="shared" si="10"/>
        <v>3781.1096000000002</v>
      </c>
      <c r="Y198" s="144"/>
    </row>
    <row r="199" spans="1:25" x14ac:dyDescent="0.2">
      <c r="A199" s="678" t="s">
        <v>10</v>
      </c>
      <c r="B199" s="678"/>
      <c r="C199" s="678"/>
      <c r="D199" s="260"/>
      <c r="E199" s="134"/>
      <c r="F199" s="195">
        <v>72195.210000000006</v>
      </c>
      <c r="G199" s="195">
        <v>69206.34041200002</v>
      </c>
      <c r="H199" s="195">
        <v>2988.8695879999996</v>
      </c>
      <c r="I199" s="189"/>
      <c r="J199" s="195"/>
      <c r="K199" s="195"/>
      <c r="L199" s="195"/>
      <c r="M199" s="189"/>
      <c r="N199" s="195">
        <v>47069.209999999992</v>
      </c>
      <c r="O199" s="195">
        <v>45866.899999999994</v>
      </c>
      <c r="P199" s="195">
        <v>1202.31</v>
      </c>
      <c r="Q199" s="134"/>
      <c r="R199" s="195">
        <v>3038.14</v>
      </c>
      <c r="S199" s="195">
        <v>3038.14</v>
      </c>
      <c r="T199" s="195">
        <v>0</v>
      </c>
      <c r="U199" s="134"/>
      <c r="V199" s="195">
        <f t="shared" si="10"/>
        <v>122302.56</v>
      </c>
      <c r="W199" s="195">
        <f t="shared" si="10"/>
        <v>118111.38041200001</v>
      </c>
      <c r="X199" s="195">
        <f t="shared" si="10"/>
        <v>4191.1795879999991</v>
      </c>
      <c r="Y199" s="144"/>
    </row>
    <row r="200" spans="1:25" x14ac:dyDescent="0.2">
      <c r="A200" s="678" t="s">
        <v>11</v>
      </c>
      <c r="B200" s="678"/>
      <c r="C200" s="678"/>
      <c r="D200" s="260"/>
      <c r="E200" s="134"/>
      <c r="F200" s="195">
        <v>41637.860000000008</v>
      </c>
      <c r="G200" s="195">
        <v>40184.415593000005</v>
      </c>
      <c r="H200" s="195">
        <v>1453.4444069999997</v>
      </c>
      <c r="I200" s="189"/>
      <c r="J200" s="195"/>
      <c r="K200" s="195"/>
      <c r="L200" s="195"/>
      <c r="M200" s="189"/>
      <c r="N200" s="195">
        <v>70431.161999999997</v>
      </c>
      <c r="O200" s="195">
        <v>67893.301999999996</v>
      </c>
      <c r="P200" s="195">
        <v>2537.86</v>
      </c>
      <c r="Q200" s="134"/>
      <c r="R200" s="195">
        <v>5789.7840000000006</v>
      </c>
      <c r="S200" s="195">
        <v>5782.5540000000001</v>
      </c>
      <c r="T200" s="195">
        <v>7.23</v>
      </c>
      <c r="U200" s="134"/>
      <c r="V200" s="195">
        <f t="shared" si="10"/>
        <v>117858.806</v>
      </c>
      <c r="W200" s="195">
        <f t="shared" si="10"/>
        <v>113860.27159300001</v>
      </c>
      <c r="X200" s="195">
        <f t="shared" si="10"/>
        <v>3998.5344069999996</v>
      </c>
      <c r="Y200" s="144"/>
    </row>
    <row r="201" spans="1:25" x14ac:dyDescent="0.2">
      <c r="N201" s="119"/>
      <c r="O201" s="119"/>
      <c r="P201" s="119"/>
      <c r="V201" s="119"/>
      <c r="W201" s="119"/>
      <c r="X201" s="119"/>
    </row>
    <row r="202" spans="1:25" x14ac:dyDescent="0.2">
      <c r="A202" s="679" t="s">
        <v>7</v>
      </c>
      <c r="B202" s="680"/>
      <c r="C202" s="681"/>
      <c r="F202" s="198">
        <v>476439.74999999994</v>
      </c>
      <c r="G202" s="198">
        <v>455905.73829999991</v>
      </c>
      <c r="H202" s="198">
        <v>20534.441699999999</v>
      </c>
      <c r="I202" s="261"/>
      <c r="J202" s="198">
        <v>86145.58</v>
      </c>
      <c r="K202" s="198"/>
      <c r="L202" s="198"/>
      <c r="M202" s="261"/>
      <c r="N202" s="198">
        <v>161046.51</v>
      </c>
      <c r="O202" s="198">
        <v>156816.43000000002</v>
      </c>
      <c r="P202" s="198">
        <v>4230.08</v>
      </c>
      <c r="R202" s="198">
        <v>23743.64</v>
      </c>
      <c r="S202" s="198">
        <v>23692.6</v>
      </c>
      <c r="T202" s="198">
        <v>51.04</v>
      </c>
      <c r="V202" s="198">
        <f>F202+J202+N202+R202-J202</f>
        <v>661229.9</v>
      </c>
      <c r="W202" s="198">
        <f>G202+K202+O202+S202</f>
        <v>636414.76829999988</v>
      </c>
      <c r="X202" s="198">
        <f>H202+L202+P202+T202</f>
        <v>24815.561699999998</v>
      </c>
    </row>
    <row r="203" spans="1:25" x14ac:dyDescent="0.2">
      <c r="A203" s="197"/>
      <c r="B203" s="197" t="s">
        <v>230</v>
      </c>
      <c r="C203" s="197"/>
      <c r="F203" s="119"/>
      <c r="G203" s="119"/>
      <c r="H203" s="119"/>
      <c r="J203" s="119"/>
      <c r="K203" s="119"/>
      <c r="L203" s="119"/>
      <c r="N203" s="119"/>
      <c r="O203" s="119"/>
      <c r="P203" s="119"/>
      <c r="V203" s="119"/>
      <c r="W203" s="119"/>
      <c r="X203" s="119"/>
    </row>
    <row r="204" spans="1:25" x14ac:dyDescent="0.2">
      <c r="A204" s="682" t="s">
        <v>8</v>
      </c>
      <c r="B204" s="682"/>
      <c r="C204" s="682"/>
      <c r="F204" s="202">
        <v>276210.03999999998</v>
      </c>
      <c r="G204" s="202">
        <v>262014.85549999995</v>
      </c>
      <c r="H204" s="202">
        <v>14195.404500000002</v>
      </c>
      <c r="I204" s="197"/>
      <c r="J204" s="202"/>
      <c r="K204" s="202"/>
      <c r="L204" s="202"/>
      <c r="M204" s="197"/>
      <c r="N204" s="202">
        <v>14509.7</v>
      </c>
      <c r="O204" s="202">
        <v>14509.7</v>
      </c>
      <c r="P204" s="202">
        <v>0</v>
      </c>
      <c r="R204" s="202">
        <v>11657.119999999999</v>
      </c>
      <c r="S204" s="202">
        <v>11617.119999999999</v>
      </c>
      <c r="T204" s="202">
        <v>40</v>
      </c>
      <c r="V204" s="202">
        <f t="shared" ref="V204:X207" si="11">F204+J204+N204+R204</f>
        <v>302376.86</v>
      </c>
      <c r="W204" s="202">
        <f t="shared" si="11"/>
        <v>288141.67549999995</v>
      </c>
      <c r="X204" s="202">
        <f t="shared" si="11"/>
        <v>14235.404500000002</v>
      </c>
    </row>
    <row r="205" spans="1:25" x14ac:dyDescent="0.2">
      <c r="A205" s="682" t="s">
        <v>9</v>
      </c>
      <c r="B205" s="682"/>
      <c r="C205" s="682"/>
      <c r="F205" s="202">
        <v>104009.75</v>
      </c>
      <c r="G205" s="202">
        <v>102915.16</v>
      </c>
      <c r="H205" s="202">
        <v>1094.6100000000001</v>
      </c>
      <c r="I205" s="197"/>
      <c r="J205" s="202"/>
      <c r="K205" s="202"/>
      <c r="L205" s="202"/>
      <c r="M205" s="197"/>
      <c r="N205" s="202">
        <v>41402.400000000001</v>
      </c>
      <c r="O205" s="202">
        <v>41402.400000000001</v>
      </c>
      <c r="P205" s="202">
        <v>0</v>
      </c>
      <c r="R205" s="202">
        <v>8813.7000000000007</v>
      </c>
      <c r="S205" s="202">
        <v>8813.7000000000007</v>
      </c>
      <c r="T205" s="202">
        <v>0</v>
      </c>
      <c r="V205" s="202">
        <f t="shared" si="11"/>
        <v>154225.85</v>
      </c>
      <c r="W205" s="202">
        <f t="shared" si="11"/>
        <v>153131.26</v>
      </c>
      <c r="X205" s="202">
        <f t="shared" si="11"/>
        <v>1094.6100000000001</v>
      </c>
    </row>
    <row r="206" spans="1:25" x14ac:dyDescent="0.2">
      <c r="A206" s="682" t="s">
        <v>10</v>
      </c>
      <c r="B206" s="682"/>
      <c r="C206" s="682"/>
      <c r="F206" s="202">
        <v>63537.630000000005</v>
      </c>
      <c r="G206" s="202">
        <v>61119.892800000001</v>
      </c>
      <c r="H206" s="202">
        <v>2417.7972</v>
      </c>
      <c r="I206" s="197"/>
      <c r="J206" s="202"/>
      <c r="K206" s="202"/>
      <c r="L206" s="202"/>
      <c r="M206" s="197"/>
      <c r="N206" s="202">
        <v>45025.5</v>
      </c>
      <c r="O206" s="202">
        <v>43737.16</v>
      </c>
      <c r="P206" s="202">
        <v>1288.3400000000001</v>
      </c>
      <c r="R206" s="202">
        <v>2762.86</v>
      </c>
      <c r="S206" s="202">
        <v>2762.86</v>
      </c>
      <c r="T206" s="202">
        <v>0</v>
      </c>
      <c r="V206" s="202">
        <f t="shared" si="11"/>
        <v>111325.99</v>
      </c>
      <c r="W206" s="202">
        <f t="shared" si="11"/>
        <v>107619.91280000001</v>
      </c>
      <c r="X206" s="202">
        <f t="shared" si="11"/>
        <v>3706.1372000000001</v>
      </c>
    </row>
    <row r="207" spans="1:25" x14ac:dyDescent="0.2">
      <c r="A207" s="682" t="s">
        <v>11</v>
      </c>
      <c r="B207" s="682"/>
      <c r="C207" s="682"/>
      <c r="F207" s="202">
        <v>32682.329999999998</v>
      </c>
      <c r="G207" s="202">
        <v>29855.83</v>
      </c>
      <c r="H207" s="202">
        <v>2826.63</v>
      </c>
      <c r="I207" s="197"/>
      <c r="J207" s="202"/>
      <c r="K207" s="202"/>
      <c r="L207" s="202"/>
      <c r="M207" s="197"/>
      <c r="N207" s="202">
        <v>60108.91</v>
      </c>
      <c r="O207" s="202">
        <v>57167.17</v>
      </c>
      <c r="P207" s="202">
        <v>2941.74</v>
      </c>
      <c r="R207" s="202">
        <v>509.96</v>
      </c>
      <c r="S207" s="202">
        <v>498.92</v>
      </c>
      <c r="T207" s="202">
        <v>11.04</v>
      </c>
      <c r="V207" s="202">
        <f t="shared" si="11"/>
        <v>93301.200000000012</v>
      </c>
      <c r="W207" s="202">
        <f t="shared" si="11"/>
        <v>87521.919999999998</v>
      </c>
      <c r="X207" s="202">
        <f t="shared" si="11"/>
        <v>5779.41</v>
      </c>
    </row>
    <row r="209" spans="6:10" x14ac:dyDescent="0.2">
      <c r="F209" s="518"/>
      <c r="J209" s="518"/>
    </row>
  </sheetData>
  <mergeCells count="54">
    <mergeCell ref="A152:C152"/>
    <mergeCell ref="A144:C144"/>
    <mergeCell ref="A154:C154"/>
    <mergeCell ref="A1:X1"/>
    <mergeCell ref="F3:H3"/>
    <mergeCell ref="J3:L3"/>
    <mergeCell ref="N3:P3"/>
    <mergeCell ref="R3:T3"/>
    <mergeCell ref="V3:X3"/>
    <mergeCell ref="Z3:AB3"/>
    <mergeCell ref="A134:C134"/>
    <mergeCell ref="A135:C135"/>
    <mergeCell ref="A137:C137"/>
    <mergeCell ref="A138:C138"/>
    <mergeCell ref="A172:C172"/>
    <mergeCell ref="A139:C139"/>
    <mergeCell ref="A158:C158"/>
    <mergeCell ref="A160:C160"/>
    <mergeCell ref="A163:C163"/>
    <mergeCell ref="A165:C165"/>
    <mergeCell ref="A167:C167"/>
    <mergeCell ref="A170:C170"/>
    <mergeCell ref="A149:C149"/>
    <mergeCell ref="A151:C151"/>
    <mergeCell ref="A141:C141"/>
    <mergeCell ref="A143:C143"/>
    <mergeCell ref="A145:C145"/>
    <mergeCell ref="A146:C146"/>
    <mergeCell ref="A168:C168"/>
    <mergeCell ref="A161:C161"/>
    <mergeCell ref="A190:C190"/>
    <mergeCell ref="A174:C174"/>
    <mergeCell ref="A175:C175"/>
    <mergeCell ref="A176:C176"/>
    <mergeCell ref="A177:C177"/>
    <mergeCell ref="A180:C180"/>
    <mergeCell ref="A182:C182"/>
    <mergeCell ref="A183:C183"/>
    <mergeCell ref="A184:C184"/>
    <mergeCell ref="A185:C185"/>
    <mergeCell ref="A187:C187"/>
    <mergeCell ref="A189:C189"/>
    <mergeCell ref="A207:C207"/>
    <mergeCell ref="A191:C191"/>
    <mergeCell ref="A192:C192"/>
    <mergeCell ref="A195:C195"/>
    <mergeCell ref="A197:C197"/>
    <mergeCell ref="A198:C198"/>
    <mergeCell ref="A199:C199"/>
    <mergeCell ref="A200:C200"/>
    <mergeCell ref="A202:C202"/>
    <mergeCell ref="A204:C204"/>
    <mergeCell ref="A205:C205"/>
    <mergeCell ref="A206:C206"/>
  </mergeCells>
  <hyperlinks>
    <hyperlink ref="C179" r:id="rId1" xr:uid="{2ACB467C-2F88-4F23-834D-D6C0A5C4768F}"/>
    <hyperlink ref="D63" location="'2009-10'!A160" display="Bottom" xr:uid="{60C1D181-6D99-4314-B59E-299378A53836}"/>
  </hyperlinks>
  <pageMargins left="0.7" right="0.7" top="0.75" bottom="0.75" header="0.3" footer="0.3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B8F9-6992-4E4F-9BA6-C46C5E8C6F41}">
  <dimension ref="A1:BG221"/>
  <sheetViews>
    <sheetView workbookViewId="0">
      <pane xSplit="3" ySplit="4" topLeftCell="D5" activePane="bottomRight" state="frozen"/>
      <selection activeCell="J10" sqref="J10"/>
      <selection pane="topRight" activeCell="J10" sqref="J10"/>
      <selection pane="bottomLeft" activeCell="J10" sqref="J10"/>
      <selection pane="bottomRight" activeCell="AE4" sqref="AE4"/>
    </sheetView>
  </sheetViews>
  <sheetFormatPr defaultRowHeight="12.75" x14ac:dyDescent="0.2"/>
  <cols>
    <col min="1" max="1" width="5.28515625" bestFit="1" customWidth="1"/>
    <col min="2" max="2" width="26" bestFit="1" customWidth="1"/>
    <col min="3" max="3" width="13.5703125" bestFit="1" customWidth="1"/>
    <col min="4" max="4" width="3" style="398" bestFit="1" customWidth="1"/>
    <col min="5" max="5" width="0.85546875" customWidth="1"/>
    <col min="6" max="6" width="11.42578125" style="5" bestFit="1" customWidth="1"/>
    <col min="7" max="7" width="10.5703125" style="5" bestFit="1" customWidth="1"/>
    <col min="8" max="8" width="11.42578125" style="5" bestFit="1" customWidth="1"/>
    <col min="9" max="9" width="0.85546875" customWidth="1"/>
    <col min="10" max="10" width="8.42578125" bestFit="1" customWidth="1"/>
    <col min="11" max="11" width="9.7109375" bestFit="1" customWidth="1"/>
    <col min="12" max="12" width="0.85546875" customWidth="1"/>
    <col min="13" max="14" width="8.42578125" style="5" bestFit="1" customWidth="1"/>
    <col min="15" max="15" width="0.85546875" customWidth="1"/>
    <col min="16" max="17" width="8.42578125" style="5" customWidth="1"/>
    <col min="18" max="18" width="8.42578125" style="5" bestFit="1" customWidth="1"/>
    <col min="19" max="19" width="0.85546875" customWidth="1"/>
    <col min="20" max="21" width="8.42578125" bestFit="1" customWidth="1"/>
    <col min="22" max="22" width="0.85546875" customWidth="1"/>
    <col min="23" max="24" width="8.42578125" customWidth="1"/>
    <col min="25" max="25" width="8.7109375" bestFit="1" customWidth="1"/>
    <col min="26" max="26" width="0.85546875" customWidth="1"/>
    <col min="27" max="27" width="9.5703125" customWidth="1"/>
    <col min="28" max="28" width="0.85546875" customWidth="1"/>
    <col min="29" max="29" width="9.5703125" bestFit="1" customWidth="1"/>
    <col min="30" max="30" width="8.28515625" bestFit="1" customWidth="1"/>
    <col min="31" max="31" width="9" bestFit="1" customWidth="1"/>
    <col min="32" max="33" width="8.42578125" bestFit="1" customWidth="1"/>
    <col min="35" max="37" width="8.42578125" style="119" customWidth="1"/>
  </cols>
  <sheetData>
    <row r="1" spans="1:59" s="217" customFormat="1" ht="15.75" x14ac:dyDescent="0.25">
      <c r="A1" s="751" t="s">
        <v>464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  <c r="Z1" s="751"/>
      <c r="AA1" s="751"/>
      <c r="AB1" s="751"/>
      <c r="AC1" s="751"/>
      <c r="AD1" s="751"/>
      <c r="AE1" s="751"/>
      <c r="AF1" s="751"/>
      <c r="AG1" s="752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59" s="221" customFormat="1" ht="15.75" x14ac:dyDescent="0.25">
      <c r="A2" s="453"/>
      <c r="B2" s="453"/>
      <c r="C2" s="453"/>
      <c r="D2" s="453"/>
      <c r="E2" s="453"/>
      <c r="F2" s="453"/>
      <c r="G2" s="453"/>
      <c r="H2" s="45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</row>
    <row r="3" spans="1:59" ht="15.75" customHeight="1" x14ac:dyDescent="0.25">
      <c r="A3" s="453"/>
      <c r="B3" s="219" t="s">
        <v>440</v>
      </c>
      <c r="C3" s="453"/>
      <c r="D3" s="453"/>
      <c r="E3" s="454"/>
      <c r="F3" s="725" t="s">
        <v>333</v>
      </c>
      <c r="G3" s="726"/>
      <c r="H3" s="726"/>
      <c r="I3" s="328"/>
      <c r="J3" s="753" t="s">
        <v>334</v>
      </c>
      <c r="K3" s="754"/>
      <c r="L3" s="328"/>
      <c r="M3" s="753" t="s">
        <v>335</v>
      </c>
      <c r="N3" s="755"/>
      <c r="O3" s="755"/>
      <c r="P3" s="755"/>
      <c r="Q3" s="755"/>
      <c r="R3" s="755"/>
      <c r="S3" s="328"/>
      <c r="T3" s="753" t="s">
        <v>336</v>
      </c>
      <c r="U3" s="755"/>
      <c r="V3" s="755"/>
      <c r="W3" s="755"/>
      <c r="X3" s="755"/>
      <c r="Y3" s="755"/>
      <c r="Z3" s="328"/>
      <c r="AA3" s="756" t="s">
        <v>337</v>
      </c>
      <c r="AB3" s="328"/>
      <c r="AC3" s="725" t="s">
        <v>338</v>
      </c>
      <c r="AD3" s="726"/>
      <c r="AE3" s="726"/>
      <c r="AI3" s="724" t="s">
        <v>339</v>
      </c>
      <c r="AJ3" s="724"/>
      <c r="AK3" s="724"/>
    </row>
    <row r="4" spans="1:59" ht="34.5" x14ac:dyDescent="0.25">
      <c r="A4" s="7" t="s">
        <v>35</v>
      </c>
      <c r="B4" s="33" t="s">
        <v>36</v>
      </c>
      <c r="C4" s="32" t="s">
        <v>340</v>
      </c>
      <c r="D4" s="34" t="s">
        <v>4</v>
      </c>
      <c r="E4" s="455"/>
      <c r="F4" s="456" t="s">
        <v>264</v>
      </c>
      <c r="G4" s="457" t="s">
        <v>341</v>
      </c>
      <c r="H4" s="457" t="s">
        <v>266</v>
      </c>
      <c r="I4" s="453"/>
      <c r="J4" s="457" t="s">
        <v>342</v>
      </c>
      <c r="K4" s="457" t="s">
        <v>343</v>
      </c>
      <c r="L4" s="453"/>
      <c r="M4" s="457" t="s">
        <v>344</v>
      </c>
      <c r="N4" s="457" t="s">
        <v>345</v>
      </c>
      <c r="O4" s="458"/>
      <c r="P4" s="457" t="s">
        <v>346</v>
      </c>
      <c r="Q4" s="457" t="s">
        <v>347</v>
      </c>
      <c r="R4" s="457" t="s">
        <v>348</v>
      </c>
      <c r="S4" s="458"/>
      <c r="T4" s="457" t="s">
        <v>344</v>
      </c>
      <c r="U4" s="457" t="s">
        <v>345</v>
      </c>
      <c r="V4" s="453"/>
      <c r="W4" s="457" t="s">
        <v>346</v>
      </c>
      <c r="X4" s="457" t="s">
        <v>347</v>
      </c>
      <c r="Y4" s="457" t="s">
        <v>348</v>
      </c>
      <c r="Z4" s="453"/>
      <c r="AA4" s="757"/>
      <c r="AB4" s="458"/>
      <c r="AC4" s="456" t="s">
        <v>264</v>
      </c>
      <c r="AD4" s="459" t="s">
        <v>349</v>
      </c>
      <c r="AE4" s="457" t="s">
        <v>348</v>
      </c>
      <c r="AF4" s="457" t="s">
        <v>350</v>
      </c>
      <c r="AG4" s="457" t="s">
        <v>345</v>
      </c>
      <c r="AI4" s="457" t="s">
        <v>240</v>
      </c>
      <c r="AJ4" s="457" t="s">
        <v>241</v>
      </c>
      <c r="AK4" s="457" t="s">
        <v>242</v>
      </c>
    </row>
    <row r="5" spans="1:59" x14ac:dyDescent="0.2">
      <c r="A5" s="9">
        <v>10050</v>
      </c>
      <c r="B5" s="9" t="s">
        <v>71</v>
      </c>
      <c r="C5" s="9" t="s">
        <v>66</v>
      </c>
      <c r="D5" s="29" t="s">
        <v>1</v>
      </c>
      <c r="E5" s="323"/>
      <c r="F5" s="1">
        <v>6834.34</v>
      </c>
      <c r="G5" s="1">
        <v>0</v>
      </c>
      <c r="H5" s="1">
        <f>F5-G5</f>
        <v>6834.34</v>
      </c>
      <c r="I5" s="460"/>
      <c r="J5" s="1">
        <f>VLOOKUP(B5,'App 4 - Recyclables'!$B$6:$H$133,7,FALSE)</f>
        <v>326.5</v>
      </c>
      <c r="K5" s="1">
        <f>VLOOKUP(B5,'App 5 - Organics'!$B$5:$AB$132,27,FALSE)</f>
        <v>15.44</v>
      </c>
      <c r="L5" s="461"/>
      <c r="M5" s="1">
        <f>VLOOKUP(B5,'App 4 - Recyclables'!$B$6:$P$133,15,FALSE)</f>
        <v>32.54</v>
      </c>
      <c r="N5" s="1">
        <f>VLOOKUP(B5,'App 5 - Organics'!$B$5:$P$132,15,FALSE)</f>
        <v>0</v>
      </c>
      <c r="O5" s="460"/>
      <c r="P5" s="1">
        <v>3784.81</v>
      </c>
      <c r="Q5" s="1">
        <v>148.42999999999984</v>
      </c>
      <c r="R5" s="1">
        <v>3636.38</v>
      </c>
      <c r="S5" s="460"/>
      <c r="T5" s="1">
        <f>VLOOKUP(B5,'App 4 - Recyclables'!$B$6:$T$133,19,FALSE)</f>
        <v>0</v>
      </c>
      <c r="U5" s="1">
        <f>VLOOKUP(B5,'App 5 - Organics'!$B$5:$T$132,19,FALSE)</f>
        <v>0</v>
      </c>
      <c r="V5" s="460"/>
      <c r="W5" s="1">
        <v>0</v>
      </c>
      <c r="X5" s="1">
        <v>0</v>
      </c>
      <c r="Y5" s="1">
        <v>0</v>
      </c>
      <c r="Z5" s="460"/>
      <c r="AA5" s="462">
        <f>H5+J5+K5+M5+N5+R5+T5+U5+Y5</f>
        <v>10845.2</v>
      </c>
      <c r="AB5" s="460"/>
      <c r="AC5" s="463">
        <f>F5+P5+W5</f>
        <v>10619.15</v>
      </c>
      <c r="AD5" s="463">
        <f>G5+Q5+X5</f>
        <v>148.42999999999984</v>
      </c>
      <c r="AE5" s="463">
        <f>H5+R5+Y5</f>
        <v>10470.720000000001</v>
      </c>
      <c r="AF5" s="463">
        <f>J5+M5+T5</f>
        <v>359.04</v>
      </c>
      <c r="AG5" s="463">
        <f t="shared" ref="AG5:AG68" si="0">K5+N5+U5</f>
        <v>15.44</v>
      </c>
      <c r="AH5" s="4"/>
      <c r="AI5" s="227">
        <v>2261.2399999999998</v>
      </c>
      <c r="AJ5" s="227">
        <v>0</v>
      </c>
      <c r="AK5" s="227">
        <v>2261.2399999999998</v>
      </c>
    </row>
    <row r="6" spans="1:59" x14ac:dyDescent="0.2">
      <c r="A6" s="8">
        <v>10180</v>
      </c>
      <c r="B6" s="8" t="s">
        <v>72</v>
      </c>
      <c r="C6" s="8" t="s">
        <v>16</v>
      </c>
      <c r="D6" s="29" t="s">
        <v>1</v>
      </c>
      <c r="E6" s="323"/>
      <c r="F6" s="1">
        <v>5660</v>
      </c>
      <c r="G6" s="1">
        <v>0</v>
      </c>
      <c r="H6" s="1">
        <f t="shared" ref="H6:H69" si="1">F6-G6</f>
        <v>5660</v>
      </c>
      <c r="I6" s="460"/>
      <c r="J6" s="1">
        <f>VLOOKUP(B6,'App 4 - Recyclables'!$B$6:$H$133,7,FALSE)</f>
        <v>52</v>
      </c>
      <c r="K6" s="1">
        <f>VLOOKUP(B6,'App 5 - Organics'!$B$5:$AB$132,27,FALSE)</f>
        <v>10</v>
      </c>
      <c r="L6" s="461"/>
      <c r="M6" s="1">
        <f>VLOOKUP(B6,'App 4 - Recyclables'!$B$6:$P$133,15,FALSE)</f>
        <v>0</v>
      </c>
      <c r="N6" s="1">
        <f>VLOOKUP(B6,'App 5 - Organics'!$B$5:$P$132,15,FALSE)</f>
        <v>0</v>
      </c>
      <c r="O6" s="460"/>
      <c r="P6" s="1">
        <v>4783</v>
      </c>
      <c r="Q6" s="1">
        <v>770</v>
      </c>
      <c r="R6" s="1">
        <v>4013</v>
      </c>
      <c r="S6" s="460"/>
      <c r="T6" s="1">
        <f>VLOOKUP(B6,'App 4 - Recyclables'!$B$6:$T$133,19,FALSE)</f>
        <v>0</v>
      </c>
      <c r="U6" s="1">
        <f>VLOOKUP(B6,'App 5 - Organics'!$B$5:$T$132,19,FALSE)</f>
        <v>0</v>
      </c>
      <c r="V6" s="460"/>
      <c r="W6" s="1">
        <v>0</v>
      </c>
      <c r="X6" s="1">
        <v>0</v>
      </c>
      <c r="Y6" s="1">
        <v>0</v>
      </c>
      <c r="Z6" s="460"/>
      <c r="AA6" s="462">
        <f t="shared" ref="AA6:AA69" si="2">H6+J6+K6+M6+N6+R6+T6+U6+Y6</f>
        <v>9735</v>
      </c>
      <c r="AB6" s="460"/>
      <c r="AC6" s="463">
        <f t="shared" ref="AC6:AE36" si="3">F6+P6+W6</f>
        <v>10443</v>
      </c>
      <c r="AD6" s="463">
        <f t="shared" si="3"/>
        <v>770</v>
      </c>
      <c r="AE6" s="463">
        <f t="shared" si="3"/>
        <v>9673</v>
      </c>
      <c r="AF6" s="463">
        <f t="shared" ref="AF6:AG69" si="4">J6+M6+T6</f>
        <v>52</v>
      </c>
      <c r="AG6" s="463">
        <f t="shared" si="0"/>
        <v>10</v>
      </c>
      <c r="AH6" s="4"/>
      <c r="AI6" s="227">
        <v>50</v>
      </c>
      <c r="AJ6" s="227">
        <v>0</v>
      </c>
      <c r="AK6" s="227">
        <v>50</v>
      </c>
    </row>
    <row r="7" spans="1:59" x14ac:dyDescent="0.2">
      <c r="A7" s="8">
        <v>10250</v>
      </c>
      <c r="B7" s="8" t="s">
        <v>73</v>
      </c>
      <c r="C7" s="8" t="s">
        <v>19</v>
      </c>
      <c r="D7" s="29" t="s">
        <v>3</v>
      </c>
      <c r="E7" s="323"/>
      <c r="F7" s="1">
        <v>8099</v>
      </c>
      <c r="G7" s="1">
        <v>0</v>
      </c>
      <c r="H7" s="1">
        <f t="shared" si="1"/>
        <v>8099</v>
      </c>
      <c r="I7" s="460"/>
      <c r="J7" s="1">
        <f>VLOOKUP(B7,'App 4 - Recyclables'!$B$6:$H$133,7,FALSE)</f>
        <v>417</v>
      </c>
      <c r="K7" s="1">
        <f>VLOOKUP(B7,'App 5 - Organics'!$B$5:$AB$132,27,FALSE)</f>
        <v>100</v>
      </c>
      <c r="L7" s="461"/>
      <c r="M7" s="1">
        <f>VLOOKUP(B7,'App 4 - Recyclables'!$B$6:$P$133,15,FALSE)</f>
        <v>0</v>
      </c>
      <c r="N7" s="1">
        <f>VLOOKUP(B7,'App 5 - Organics'!$B$5:$P$132,15,FALSE)</f>
        <v>0</v>
      </c>
      <c r="O7" s="460"/>
      <c r="P7" s="1">
        <v>3291.36</v>
      </c>
      <c r="Q7" s="1">
        <v>60.360000000000127</v>
      </c>
      <c r="R7" s="1">
        <v>3231</v>
      </c>
      <c r="S7" s="460"/>
      <c r="T7" s="1">
        <f>VLOOKUP(B7,'App 4 - Recyclables'!$B$6:$T$133,19,FALSE)</f>
        <v>0</v>
      </c>
      <c r="U7" s="1">
        <f>VLOOKUP(B7,'App 5 - Organics'!$B$5:$T$132,19,FALSE)</f>
        <v>0</v>
      </c>
      <c r="V7" s="460"/>
      <c r="W7" s="1">
        <v>0</v>
      </c>
      <c r="X7" s="1">
        <v>0</v>
      </c>
      <c r="Y7" s="1">
        <v>0</v>
      </c>
      <c r="Z7" s="460"/>
      <c r="AA7" s="462">
        <f t="shared" si="2"/>
        <v>11847</v>
      </c>
      <c r="AB7" s="460"/>
      <c r="AC7" s="463">
        <f t="shared" si="3"/>
        <v>11390.36</v>
      </c>
      <c r="AD7" s="463">
        <f t="shared" si="3"/>
        <v>60.360000000000127</v>
      </c>
      <c r="AE7" s="463">
        <f t="shared" si="3"/>
        <v>11330</v>
      </c>
      <c r="AF7" s="463">
        <f t="shared" si="4"/>
        <v>417</v>
      </c>
      <c r="AG7" s="463">
        <f t="shared" si="0"/>
        <v>100</v>
      </c>
      <c r="AH7" s="4"/>
      <c r="AI7" s="227">
        <v>1185</v>
      </c>
      <c r="AJ7" s="227">
        <v>0</v>
      </c>
      <c r="AK7" s="227">
        <v>1185</v>
      </c>
    </row>
    <row r="8" spans="1:59" x14ac:dyDescent="0.2">
      <c r="A8" s="8">
        <v>10300</v>
      </c>
      <c r="B8" s="8" t="s">
        <v>74</v>
      </c>
      <c r="C8" s="8" t="s">
        <v>66</v>
      </c>
      <c r="D8" s="29" t="s">
        <v>1</v>
      </c>
      <c r="E8" s="323"/>
      <c r="F8" s="1">
        <v>350</v>
      </c>
      <c r="G8" s="1">
        <v>0</v>
      </c>
      <c r="H8" s="1">
        <f t="shared" si="1"/>
        <v>350</v>
      </c>
      <c r="I8" s="460"/>
      <c r="J8" s="1">
        <f>VLOOKUP(B8,'App 4 - Recyclables'!$B$6:$H$133,7,FALSE)</f>
        <v>0</v>
      </c>
      <c r="K8" s="1">
        <f>VLOOKUP(B8,'App 5 - Organics'!$B$5:$AB$132,27,FALSE)</f>
        <v>0</v>
      </c>
      <c r="L8" s="461"/>
      <c r="M8" s="1">
        <f>VLOOKUP(B8,'App 4 - Recyclables'!$B$6:$P$133,15,FALSE)</f>
        <v>0</v>
      </c>
      <c r="N8" s="1">
        <f>VLOOKUP(B8,'App 5 - Organics'!$B$5:$P$132,15,FALSE)</f>
        <v>0</v>
      </c>
      <c r="O8" s="460"/>
      <c r="P8" s="1">
        <v>0</v>
      </c>
      <c r="Q8" s="1">
        <v>0</v>
      </c>
      <c r="R8" s="1">
        <v>0</v>
      </c>
      <c r="S8" s="460"/>
      <c r="T8" s="1">
        <f>VLOOKUP(B8,'App 4 - Recyclables'!$B$6:$T$133,19,FALSE)</f>
        <v>0</v>
      </c>
      <c r="U8" s="1">
        <f>VLOOKUP(B8,'App 5 - Organics'!$B$5:$T$132,19,FALSE)</f>
        <v>0</v>
      </c>
      <c r="V8" s="460"/>
      <c r="W8" s="1">
        <v>0</v>
      </c>
      <c r="X8" s="1">
        <v>0</v>
      </c>
      <c r="Y8" s="1">
        <v>0</v>
      </c>
      <c r="Z8" s="460"/>
      <c r="AA8" s="462">
        <f t="shared" si="2"/>
        <v>350</v>
      </c>
      <c r="AB8" s="460"/>
      <c r="AC8" s="463">
        <f t="shared" si="3"/>
        <v>350</v>
      </c>
      <c r="AD8" s="463">
        <f t="shared" si="3"/>
        <v>0</v>
      </c>
      <c r="AE8" s="463">
        <f t="shared" si="3"/>
        <v>350</v>
      </c>
      <c r="AF8" s="463">
        <f t="shared" si="4"/>
        <v>0</v>
      </c>
      <c r="AG8" s="463">
        <f t="shared" si="0"/>
        <v>0</v>
      </c>
      <c r="AH8" s="4"/>
      <c r="AI8" s="227">
        <v>0</v>
      </c>
      <c r="AJ8" s="227">
        <v>0</v>
      </c>
      <c r="AK8" s="227">
        <v>0</v>
      </c>
    </row>
    <row r="9" spans="1:59" x14ac:dyDescent="0.2">
      <c r="A9" s="8">
        <v>10470</v>
      </c>
      <c r="B9" s="8" t="s">
        <v>75</v>
      </c>
      <c r="C9" s="8" t="s">
        <v>38</v>
      </c>
      <c r="D9" s="29" t="s">
        <v>1</v>
      </c>
      <c r="E9" s="323"/>
      <c r="F9" s="1">
        <v>10154</v>
      </c>
      <c r="G9" s="1">
        <v>0</v>
      </c>
      <c r="H9" s="1">
        <f t="shared" si="1"/>
        <v>10154</v>
      </c>
      <c r="I9" s="460"/>
      <c r="J9" s="1">
        <f>VLOOKUP(B9,'App 4 - Recyclables'!$B$6:$H$133,7,FALSE)</f>
        <v>222</v>
      </c>
      <c r="K9" s="1">
        <f>VLOOKUP(B9,'App 5 - Organics'!$B$5:$AB$132,27,FALSE)</f>
        <v>0</v>
      </c>
      <c r="L9" s="461"/>
      <c r="M9" s="1">
        <f>VLOOKUP(B9,'App 4 - Recyclables'!$B$6:$P$133,15,FALSE)</f>
        <v>0</v>
      </c>
      <c r="N9" s="1">
        <f>VLOOKUP(B9,'App 5 - Organics'!$B$5:$P$132,15,FALSE)</f>
        <v>0</v>
      </c>
      <c r="O9" s="460"/>
      <c r="P9" s="1">
        <v>0</v>
      </c>
      <c r="Q9" s="1">
        <v>0</v>
      </c>
      <c r="R9" s="1">
        <v>0</v>
      </c>
      <c r="S9" s="460"/>
      <c r="T9" s="1">
        <f>VLOOKUP(B9,'App 4 - Recyclables'!$B$6:$T$133,19,FALSE)</f>
        <v>0</v>
      </c>
      <c r="U9" s="1">
        <f>VLOOKUP(B9,'App 5 - Organics'!$B$5:$T$132,19,FALSE)</f>
        <v>0</v>
      </c>
      <c r="V9" s="460"/>
      <c r="W9" s="1">
        <v>0</v>
      </c>
      <c r="X9" s="1">
        <v>0</v>
      </c>
      <c r="Y9" s="1">
        <v>0</v>
      </c>
      <c r="Z9" s="460"/>
      <c r="AA9" s="462">
        <f t="shared" si="2"/>
        <v>10376</v>
      </c>
      <c r="AB9" s="460"/>
      <c r="AC9" s="463">
        <f t="shared" si="3"/>
        <v>10154</v>
      </c>
      <c r="AD9" s="463">
        <f t="shared" si="3"/>
        <v>0</v>
      </c>
      <c r="AE9" s="463">
        <f t="shared" si="3"/>
        <v>10154</v>
      </c>
      <c r="AF9" s="463">
        <f t="shared" si="4"/>
        <v>222</v>
      </c>
      <c r="AG9" s="463">
        <f t="shared" si="0"/>
        <v>0</v>
      </c>
      <c r="AH9" s="4"/>
      <c r="AI9" s="227">
        <v>20151.63</v>
      </c>
      <c r="AJ9" s="227">
        <v>233.59000000000015</v>
      </c>
      <c r="AK9" s="227">
        <v>19918.04</v>
      </c>
    </row>
    <row r="10" spans="1:59" x14ac:dyDescent="0.2">
      <c r="A10" s="8">
        <v>10500</v>
      </c>
      <c r="B10" s="8" t="s">
        <v>405</v>
      </c>
      <c r="C10" s="8" t="s">
        <v>17</v>
      </c>
      <c r="D10" s="29" t="s">
        <v>2</v>
      </c>
      <c r="E10" s="323"/>
      <c r="F10" s="1">
        <v>41324.92</v>
      </c>
      <c r="G10" s="1">
        <v>13306.919999999998</v>
      </c>
      <c r="H10" s="1">
        <f t="shared" si="1"/>
        <v>28018</v>
      </c>
      <c r="I10" s="460"/>
      <c r="J10" s="1">
        <f>VLOOKUP(B10,'App 4 - Recyclables'!$B$6:$H$133,7,FALSE)</f>
        <v>1549</v>
      </c>
      <c r="K10" s="1">
        <f>VLOOKUP(B10,'App 5 - Organics'!$B$5:$AB$132,27,FALSE)</f>
        <v>41</v>
      </c>
      <c r="L10" s="461"/>
      <c r="M10" s="1">
        <f>VLOOKUP(B10,'App 4 - Recyclables'!$B$6:$P$133,15,FALSE)</f>
        <v>7.26</v>
      </c>
      <c r="N10" s="1">
        <f>VLOOKUP(B10,'App 5 - Organics'!$B$5:$P$132,15,FALSE)</f>
        <v>1.54</v>
      </c>
      <c r="O10" s="460"/>
      <c r="P10" s="1">
        <v>29.26</v>
      </c>
      <c r="Q10" s="1">
        <v>27.75</v>
      </c>
      <c r="R10" s="1">
        <v>1.51</v>
      </c>
      <c r="S10" s="460"/>
      <c r="T10" s="1">
        <f>VLOOKUP(B10,'App 4 - Recyclables'!$B$6:$T$133,19,FALSE)</f>
        <v>143.15</v>
      </c>
      <c r="U10" s="1">
        <f>VLOOKUP(B10,'App 5 - Organics'!$B$5:$T$132,19,FALSE)</f>
        <v>0</v>
      </c>
      <c r="V10" s="460"/>
      <c r="W10" s="1">
        <v>8745</v>
      </c>
      <c r="X10" s="1">
        <v>6781</v>
      </c>
      <c r="Y10" s="1">
        <v>1964</v>
      </c>
      <c r="Z10" s="460"/>
      <c r="AA10" s="462">
        <f t="shared" si="2"/>
        <v>31725.46</v>
      </c>
      <c r="AB10" s="460"/>
      <c r="AC10" s="463">
        <f t="shared" si="3"/>
        <v>50099.18</v>
      </c>
      <c r="AD10" s="463">
        <f t="shared" si="3"/>
        <v>20115.669999999998</v>
      </c>
      <c r="AE10" s="463">
        <f t="shared" si="3"/>
        <v>29983.51</v>
      </c>
      <c r="AF10" s="463">
        <f t="shared" si="4"/>
        <v>1699.41</v>
      </c>
      <c r="AG10" s="463">
        <f t="shared" si="0"/>
        <v>42.54</v>
      </c>
      <c r="AH10" s="4"/>
      <c r="AI10" s="227">
        <v>0</v>
      </c>
      <c r="AJ10" s="227">
        <v>0</v>
      </c>
      <c r="AK10" s="227">
        <v>0</v>
      </c>
    </row>
    <row r="11" spans="1:59" x14ac:dyDescent="0.2">
      <c r="A11" s="8">
        <v>10550</v>
      </c>
      <c r="B11" s="8" t="s">
        <v>76</v>
      </c>
      <c r="C11" s="8" t="s">
        <v>67</v>
      </c>
      <c r="D11" s="29" t="s">
        <v>1</v>
      </c>
      <c r="E11" s="323"/>
      <c r="F11" s="1">
        <v>7034</v>
      </c>
      <c r="G11" s="1">
        <v>0</v>
      </c>
      <c r="H11" s="1">
        <f t="shared" si="1"/>
        <v>7034</v>
      </c>
      <c r="I11" s="460"/>
      <c r="J11" s="1">
        <f>VLOOKUP(B11,'App 4 - Recyclables'!$B$6:$H$133,7,FALSE)</f>
        <v>401</v>
      </c>
      <c r="K11" s="1">
        <f>VLOOKUP(B11,'App 5 - Organics'!$B$5:$AB$132,27,FALSE)</f>
        <v>1283.33</v>
      </c>
      <c r="L11" s="461"/>
      <c r="M11" s="1">
        <f>VLOOKUP(B11,'App 4 - Recyclables'!$B$6:$P$133,15,FALSE)</f>
        <v>0</v>
      </c>
      <c r="N11" s="1">
        <f>VLOOKUP(B11,'App 5 - Organics'!$B$5:$P$132,15,FALSE)</f>
        <v>0</v>
      </c>
      <c r="O11" s="460"/>
      <c r="P11" s="1">
        <v>12497</v>
      </c>
      <c r="Q11" s="1">
        <v>1371</v>
      </c>
      <c r="R11" s="1">
        <v>11126</v>
      </c>
      <c r="S11" s="460"/>
      <c r="T11" s="1">
        <f>VLOOKUP(B11,'App 4 - Recyclables'!$B$6:$T$133,19,FALSE)</f>
        <v>0</v>
      </c>
      <c r="U11" s="1">
        <f>VLOOKUP(B11,'App 5 - Organics'!$B$5:$T$132,19,FALSE)</f>
        <v>0</v>
      </c>
      <c r="V11" s="460"/>
      <c r="W11" s="1">
        <v>0</v>
      </c>
      <c r="X11" s="1">
        <v>0</v>
      </c>
      <c r="Y11" s="1">
        <v>0</v>
      </c>
      <c r="Z11" s="460"/>
      <c r="AA11" s="462">
        <f t="shared" si="2"/>
        <v>19844.330000000002</v>
      </c>
      <c r="AB11" s="460"/>
      <c r="AC11" s="463">
        <f t="shared" si="3"/>
        <v>19531</v>
      </c>
      <c r="AD11" s="463">
        <f t="shared" si="3"/>
        <v>1371</v>
      </c>
      <c r="AE11" s="463">
        <f t="shared" si="3"/>
        <v>18160</v>
      </c>
      <c r="AF11" s="463">
        <f t="shared" si="4"/>
        <v>401</v>
      </c>
      <c r="AG11" s="463">
        <f t="shared" si="0"/>
        <v>1283.33</v>
      </c>
      <c r="AH11" s="4"/>
      <c r="AI11" s="227">
        <v>264</v>
      </c>
      <c r="AJ11" s="227">
        <v>0</v>
      </c>
      <c r="AK11" s="227">
        <v>264</v>
      </c>
    </row>
    <row r="12" spans="1:59" x14ac:dyDescent="0.2">
      <c r="A12" s="8">
        <v>10600</v>
      </c>
      <c r="B12" s="8" t="s">
        <v>44</v>
      </c>
      <c r="C12" s="8" t="s">
        <v>39</v>
      </c>
      <c r="D12" s="29" t="s">
        <v>3</v>
      </c>
      <c r="E12" s="323"/>
      <c r="F12" s="1">
        <v>1288.7</v>
      </c>
      <c r="G12" s="1">
        <v>0</v>
      </c>
      <c r="H12" s="1">
        <f t="shared" si="1"/>
        <v>1288.7</v>
      </c>
      <c r="I12" s="460"/>
      <c r="J12" s="1">
        <f>VLOOKUP(B12,'App 4 - Recyclables'!$B$6:$H$133,7,FALSE)</f>
        <v>115.4</v>
      </c>
      <c r="K12" s="1">
        <f>VLOOKUP(B12,'App 5 - Organics'!$B$5:$AB$132,27,FALSE)</f>
        <v>20.36</v>
      </c>
      <c r="L12" s="461"/>
      <c r="M12" s="1">
        <f>VLOOKUP(B12,'App 4 - Recyclables'!$B$6:$P$133,15,FALSE)</f>
        <v>0</v>
      </c>
      <c r="N12" s="1">
        <f>VLOOKUP(B12,'App 5 - Organics'!$B$5:$P$132,15,FALSE)</f>
        <v>0</v>
      </c>
      <c r="O12" s="460"/>
      <c r="P12" s="1">
        <v>625</v>
      </c>
      <c r="Q12" s="1">
        <v>0</v>
      </c>
      <c r="R12" s="1">
        <v>625</v>
      </c>
      <c r="S12" s="460"/>
      <c r="T12" s="1">
        <f>VLOOKUP(B12,'App 4 - Recyclables'!$B$6:$T$133,19,FALSE)</f>
        <v>0</v>
      </c>
      <c r="U12" s="1">
        <f>VLOOKUP(B12,'App 5 - Organics'!$B$5:$T$132,19,FALSE)</f>
        <v>0</v>
      </c>
      <c r="V12" s="460"/>
      <c r="W12" s="1">
        <v>126.34</v>
      </c>
      <c r="X12" s="1">
        <v>0</v>
      </c>
      <c r="Y12" s="1">
        <v>126.34</v>
      </c>
      <c r="Z12" s="460"/>
      <c r="AA12" s="462">
        <f t="shared" si="2"/>
        <v>2175.8000000000002</v>
      </c>
      <c r="AB12" s="460"/>
      <c r="AC12" s="463">
        <f t="shared" si="3"/>
        <v>2040.04</v>
      </c>
      <c r="AD12" s="463">
        <f t="shared" si="3"/>
        <v>0</v>
      </c>
      <c r="AE12" s="463">
        <f t="shared" si="3"/>
        <v>2040.04</v>
      </c>
      <c r="AF12" s="463">
        <f t="shared" si="4"/>
        <v>115.4</v>
      </c>
      <c r="AG12" s="463">
        <f t="shared" si="0"/>
        <v>20.36</v>
      </c>
      <c r="AH12" s="4"/>
      <c r="AI12" s="227">
        <v>0</v>
      </c>
      <c r="AJ12" s="227">
        <v>0</v>
      </c>
      <c r="AK12" s="227">
        <v>0</v>
      </c>
    </row>
    <row r="13" spans="1:59" x14ac:dyDescent="0.2">
      <c r="A13" s="8">
        <v>10650</v>
      </c>
      <c r="B13" s="8" t="s">
        <v>77</v>
      </c>
      <c r="C13" s="8" t="s">
        <v>66</v>
      </c>
      <c r="D13" s="29" t="s">
        <v>1</v>
      </c>
      <c r="E13" s="323"/>
      <c r="F13" s="1">
        <v>1723.74</v>
      </c>
      <c r="G13" s="1">
        <v>0</v>
      </c>
      <c r="H13" s="1">
        <f t="shared" si="1"/>
        <v>1723.74</v>
      </c>
      <c r="I13" s="460"/>
      <c r="J13" s="1">
        <f>VLOOKUP(B13,'App 4 - Recyclables'!$B$6:$H$133,7,FALSE)</f>
        <v>0</v>
      </c>
      <c r="K13" s="1">
        <f>VLOOKUP(B13,'App 5 - Organics'!$B$5:$AB$132,27,FALSE)</f>
        <v>0</v>
      </c>
      <c r="L13" s="461"/>
      <c r="M13" s="1">
        <f>VLOOKUP(B13,'App 4 - Recyclables'!$B$6:$P$133,15,FALSE)</f>
        <v>0</v>
      </c>
      <c r="N13" s="1">
        <f>VLOOKUP(B13,'App 5 - Organics'!$B$5:$P$132,15,FALSE)</f>
        <v>0</v>
      </c>
      <c r="O13" s="460"/>
      <c r="P13" s="1">
        <v>436.25</v>
      </c>
      <c r="Q13" s="1">
        <v>11</v>
      </c>
      <c r="R13" s="1">
        <v>425.25</v>
      </c>
      <c r="S13" s="460"/>
      <c r="T13" s="1">
        <f>VLOOKUP(B13,'App 4 - Recyclables'!$B$6:$T$133,19,FALSE)</f>
        <v>0</v>
      </c>
      <c r="U13" s="1">
        <f>VLOOKUP(B13,'App 5 - Organics'!$B$5:$T$132,19,FALSE)</f>
        <v>0</v>
      </c>
      <c r="V13" s="460"/>
      <c r="W13" s="1">
        <v>0</v>
      </c>
      <c r="X13" s="1">
        <v>0</v>
      </c>
      <c r="Y13" s="1">
        <v>0</v>
      </c>
      <c r="Z13" s="460"/>
      <c r="AA13" s="462">
        <f t="shared" si="2"/>
        <v>2148.9899999999998</v>
      </c>
      <c r="AB13" s="460"/>
      <c r="AC13" s="463">
        <f t="shared" si="3"/>
        <v>2159.9899999999998</v>
      </c>
      <c r="AD13" s="463">
        <f t="shared" si="3"/>
        <v>11</v>
      </c>
      <c r="AE13" s="463">
        <f t="shared" si="3"/>
        <v>2148.9899999999998</v>
      </c>
      <c r="AF13" s="463">
        <f t="shared" si="4"/>
        <v>0</v>
      </c>
      <c r="AG13" s="463">
        <f t="shared" si="0"/>
        <v>0</v>
      </c>
      <c r="AH13" s="4"/>
      <c r="AI13" s="227">
        <v>0</v>
      </c>
      <c r="AJ13" s="227">
        <v>0</v>
      </c>
      <c r="AK13" s="227">
        <v>0</v>
      </c>
    </row>
    <row r="14" spans="1:59" x14ac:dyDescent="0.2">
      <c r="A14" s="8">
        <v>10750</v>
      </c>
      <c r="B14" s="8" t="s">
        <v>45</v>
      </c>
      <c r="C14" s="8" t="s">
        <v>18</v>
      </c>
      <c r="D14" s="29" t="s">
        <v>2</v>
      </c>
      <c r="E14" s="323"/>
      <c r="F14" s="1">
        <v>111502</v>
      </c>
      <c r="G14" s="1">
        <f>F14-H14</f>
        <v>100949</v>
      </c>
      <c r="H14" s="1">
        <v>10553</v>
      </c>
      <c r="I14" s="460"/>
      <c r="J14" s="1">
        <f>VLOOKUP(B14,'App 4 - Recyclables'!$B$6:$H$133,7,FALSE)</f>
        <v>1493</v>
      </c>
      <c r="K14" s="1">
        <f>VLOOKUP(B14,'App 5 - Organics'!$B$5:$AB$132,27,FALSE)</f>
        <v>0</v>
      </c>
      <c r="L14" s="461"/>
      <c r="M14" s="1">
        <f>VLOOKUP(B14,'App 4 - Recyclables'!$B$6:$P$133,15,FALSE)</f>
        <v>0</v>
      </c>
      <c r="N14" s="1">
        <f>VLOOKUP(B14,'App 5 - Organics'!$B$5:$P$132,15,FALSE)</f>
        <v>0</v>
      </c>
      <c r="O14" s="460"/>
      <c r="P14" s="1">
        <v>0</v>
      </c>
      <c r="Q14" s="1">
        <v>0</v>
      </c>
      <c r="R14" s="1">
        <v>0</v>
      </c>
      <c r="S14" s="460"/>
      <c r="T14" s="1">
        <f>VLOOKUP(B14,'App 4 - Recyclables'!$B$6:$T$133,19,FALSE)</f>
        <v>0</v>
      </c>
      <c r="U14" s="1">
        <f>VLOOKUP(B14,'App 5 - Organics'!$B$5:$T$132,19,FALSE)</f>
        <v>0</v>
      </c>
      <c r="V14" s="460"/>
      <c r="W14" s="1">
        <v>0</v>
      </c>
      <c r="X14" s="1">
        <v>0</v>
      </c>
      <c r="Y14" s="1">
        <v>0</v>
      </c>
      <c r="Z14" s="460"/>
      <c r="AA14" s="462">
        <f t="shared" si="2"/>
        <v>12046</v>
      </c>
      <c r="AB14" s="460"/>
      <c r="AC14" s="463">
        <f t="shared" si="3"/>
        <v>111502</v>
      </c>
      <c r="AD14" s="463">
        <f t="shared" si="3"/>
        <v>100949</v>
      </c>
      <c r="AE14" s="463">
        <f t="shared" si="3"/>
        <v>10553</v>
      </c>
      <c r="AF14" s="463">
        <f t="shared" si="4"/>
        <v>1493</v>
      </c>
      <c r="AG14" s="463">
        <f t="shared" si="0"/>
        <v>0</v>
      </c>
      <c r="AH14" s="4"/>
      <c r="AI14" s="227">
        <v>0</v>
      </c>
      <c r="AJ14" s="227">
        <v>0</v>
      </c>
      <c r="AK14" s="227">
        <v>0</v>
      </c>
    </row>
    <row r="15" spans="1:59" x14ac:dyDescent="0.2">
      <c r="A15" s="8">
        <v>10800</v>
      </c>
      <c r="B15" s="8" t="s">
        <v>78</v>
      </c>
      <c r="C15" s="8" t="s">
        <v>21</v>
      </c>
      <c r="D15" s="29" t="s">
        <v>1</v>
      </c>
      <c r="E15" s="323"/>
      <c r="F15" s="1">
        <v>1098.9000000000001</v>
      </c>
      <c r="G15" s="1">
        <v>0</v>
      </c>
      <c r="H15" s="1">
        <f t="shared" si="1"/>
        <v>1098.9000000000001</v>
      </c>
      <c r="I15" s="460"/>
      <c r="J15" s="1">
        <f>VLOOKUP(B15,'App 4 - Recyclables'!$B$6:$H$133,7,FALSE)</f>
        <v>0</v>
      </c>
      <c r="K15" s="1">
        <f>VLOOKUP(B15,'App 5 - Organics'!$B$5:$AB$132,27,FALSE)</f>
        <v>0</v>
      </c>
      <c r="L15" s="461"/>
      <c r="M15" s="1">
        <f>VLOOKUP(B15,'App 4 - Recyclables'!$B$6:$P$133,15,FALSE)</f>
        <v>0</v>
      </c>
      <c r="N15" s="1">
        <f>VLOOKUP(B15,'App 5 - Organics'!$B$5:$P$132,15,FALSE)</f>
        <v>211.32</v>
      </c>
      <c r="O15" s="460"/>
      <c r="P15" s="1">
        <v>127.14</v>
      </c>
      <c r="Q15" s="1">
        <v>0</v>
      </c>
      <c r="R15" s="1">
        <v>127.14</v>
      </c>
      <c r="S15" s="460"/>
      <c r="T15" s="1">
        <f>VLOOKUP(B15,'App 4 - Recyclables'!$B$6:$T$133,19,FALSE)</f>
        <v>0</v>
      </c>
      <c r="U15" s="1">
        <f>VLOOKUP(B15,'App 5 - Organics'!$B$5:$T$132,19,FALSE)</f>
        <v>0</v>
      </c>
      <c r="V15" s="460"/>
      <c r="W15" s="1">
        <v>0</v>
      </c>
      <c r="X15" s="1">
        <v>0</v>
      </c>
      <c r="Y15" s="1">
        <v>0</v>
      </c>
      <c r="Z15" s="460"/>
      <c r="AA15" s="462">
        <f t="shared" si="2"/>
        <v>1437.3600000000001</v>
      </c>
      <c r="AB15" s="460"/>
      <c r="AC15" s="463">
        <f t="shared" si="3"/>
        <v>1226.0400000000002</v>
      </c>
      <c r="AD15" s="463">
        <f t="shared" si="3"/>
        <v>0</v>
      </c>
      <c r="AE15" s="463">
        <f t="shared" si="3"/>
        <v>1226.0400000000002</v>
      </c>
      <c r="AF15" s="463">
        <f t="shared" si="4"/>
        <v>0</v>
      </c>
      <c r="AG15" s="463">
        <f t="shared" si="0"/>
        <v>211.32</v>
      </c>
      <c r="AH15" s="4"/>
      <c r="AI15" s="227">
        <v>0</v>
      </c>
      <c r="AJ15" s="227">
        <v>0</v>
      </c>
      <c r="AK15" s="227">
        <v>0</v>
      </c>
    </row>
    <row r="16" spans="1:59" x14ac:dyDescent="0.2">
      <c r="A16" s="8">
        <v>10850</v>
      </c>
      <c r="B16" s="8" t="s">
        <v>79</v>
      </c>
      <c r="C16" s="8" t="s">
        <v>38</v>
      </c>
      <c r="D16" s="29" t="s">
        <v>1</v>
      </c>
      <c r="E16" s="323"/>
      <c r="F16" s="1">
        <v>1705.5</v>
      </c>
      <c r="G16" s="1">
        <v>0</v>
      </c>
      <c r="H16" s="1">
        <f t="shared" si="1"/>
        <v>1705.5</v>
      </c>
      <c r="I16" s="460"/>
      <c r="J16" s="1">
        <f>VLOOKUP(B16,'App 4 - Recyclables'!$B$6:$H$133,7,FALSE)</f>
        <v>0</v>
      </c>
      <c r="K16" s="1">
        <f>VLOOKUP(B16,'App 5 - Organics'!$B$5:$AB$132,27,FALSE)</f>
        <v>0</v>
      </c>
      <c r="L16" s="461"/>
      <c r="M16" s="1">
        <f>VLOOKUP(B16,'App 4 - Recyclables'!$B$6:$P$133,15,FALSE)</f>
        <v>0</v>
      </c>
      <c r="N16" s="1">
        <f>VLOOKUP(B16,'App 5 - Organics'!$B$5:$P$132,15,FALSE)</f>
        <v>0</v>
      </c>
      <c r="O16" s="460"/>
      <c r="P16" s="1">
        <v>0</v>
      </c>
      <c r="Q16" s="1">
        <v>0</v>
      </c>
      <c r="R16" s="1">
        <v>0</v>
      </c>
      <c r="S16" s="460"/>
      <c r="T16" s="1">
        <f>VLOOKUP(B16,'App 4 - Recyclables'!$B$6:$T$133,19,FALSE)</f>
        <v>0</v>
      </c>
      <c r="U16" s="1">
        <f>VLOOKUP(B16,'App 5 - Organics'!$B$5:$T$132,19,FALSE)</f>
        <v>0</v>
      </c>
      <c r="V16" s="460"/>
      <c r="W16" s="1">
        <v>136</v>
      </c>
      <c r="X16" s="1">
        <v>136</v>
      </c>
      <c r="Y16" s="1">
        <v>0</v>
      </c>
      <c r="Z16" s="460"/>
      <c r="AA16" s="462">
        <f t="shared" si="2"/>
        <v>1705.5</v>
      </c>
      <c r="AB16" s="460"/>
      <c r="AC16" s="463">
        <f t="shared" si="3"/>
        <v>1841.5</v>
      </c>
      <c r="AD16" s="463">
        <f t="shared" si="3"/>
        <v>136</v>
      </c>
      <c r="AE16" s="463">
        <f t="shared" si="3"/>
        <v>1705.5</v>
      </c>
      <c r="AF16" s="463">
        <f t="shared" si="4"/>
        <v>0</v>
      </c>
      <c r="AG16" s="463">
        <f t="shared" si="0"/>
        <v>0</v>
      </c>
      <c r="AH16" s="4"/>
      <c r="AI16" s="227">
        <v>0</v>
      </c>
      <c r="AJ16" s="227">
        <v>0</v>
      </c>
      <c r="AK16" s="227">
        <v>0</v>
      </c>
    </row>
    <row r="17" spans="1:37" x14ac:dyDescent="0.2">
      <c r="A17" s="8">
        <v>10900</v>
      </c>
      <c r="B17" s="8" t="s">
        <v>80</v>
      </c>
      <c r="C17" s="8" t="s">
        <v>18</v>
      </c>
      <c r="D17" s="29" t="s">
        <v>3</v>
      </c>
      <c r="E17" s="323"/>
      <c r="F17" s="1">
        <v>17048.060000000001</v>
      </c>
      <c r="G17" s="1">
        <v>0</v>
      </c>
      <c r="H17" s="1">
        <f t="shared" si="1"/>
        <v>17048.060000000001</v>
      </c>
      <c r="I17" s="460"/>
      <c r="J17" s="1">
        <f>VLOOKUP(B17,'App 4 - Recyclables'!$B$6:$H$133,7,FALSE)</f>
        <v>708.45</v>
      </c>
      <c r="K17" s="1">
        <f>VLOOKUP(B17,'App 5 - Organics'!$B$5:$AB$132,27,FALSE)</f>
        <v>0</v>
      </c>
      <c r="L17" s="461"/>
      <c r="M17" s="1">
        <f>VLOOKUP(B17,'App 4 - Recyclables'!$B$6:$P$133,15,FALSE)</f>
        <v>103</v>
      </c>
      <c r="N17" s="1">
        <f>VLOOKUP(B17,'App 5 - Organics'!$B$5:$P$132,15,FALSE)</f>
        <v>0</v>
      </c>
      <c r="O17" s="460"/>
      <c r="P17" s="1">
        <v>4299.8500000000004</v>
      </c>
      <c r="Q17" s="1">
        <v>1366.3500000000004</v>
      </c>
      <c r="R17" s="1">
        <v>2933.5</v>
      </c>
      <c r="S17" s="460"/>
      <c r="T17" s="1">
        <f>VLOOKUP(B17,'App 4 - Recyclables'!$B$6:$T$133,19,FALSE)</f>
        <v>0</v>
      </c>
      <c r="U17" s="1">
        <f>VLOOKUP(B17,'App 5 - Organics'!$B$5:$T$132,19,FALSE)</f>
        <v>0</v>
      </c>
      <c r="V17" s="460"/>
      <c r="W17" s="1">
        <v>1707</v>
      </c>
      <c r="X17" s="1">
        <v>986.2</v>
      </c>
      <c r="Y17" s="1">
        <v>720.8</v>
      </c>
      <c r="Z17" s="460"/>
      <c r="AA17" s="462">
        <f t="shared" si="2"/>
        <v>21513.81</v>
      </c>
      <c r="AB17" s="460"/>
      <c r="AC17" s="463">
        <f t="shared" si="3"/>
        <v>23054.910000000003</v>
      </c>
      <c r="AD17" s="463">
        <f t="shared" si="3"/>
        <v>2352.5500000000002</v>
      </c>
      <c r="AE17" s="463">
        <f t="shared" si="3"/>
        <v>20702.36</v>
      </c>
      <c r="AF17" s="463">
        <f t="shared" si="4"/>
        <v>811.45</v>
      </c>
      <c r="AG17" s="463">
        <f t="shared" si="0"/>
        <v>0</v>
      </c>
      <c r="AH17" s="4"/>
      <c r="AI17" s="227">
        <v>980</v>
      </c>
      <c r="AJ17" s="227">
        <v>402</v>
      </c>
      <c r="AK17" s="227">
        <v>578</v>
      </c>
    </row>
    <row r="18" spans="1:37" x14ac:dyDescent="0.2">
      <c r="A18" s="8">
        <v>10950</v>
      </c>
      <c r="B18" s="8" t="s">
        <v>81</v>
      </c>
      <c r="C18" s="8" t="s">
        <v>38</v>
      </c>
      <c r="D18" s="29" t="s">
        <v>1</v>
      </c>
      <c r="E18" s="323"/>
      <c r="F18" s="1">
        <v>1042</v>
      </c>
      <c r="G18" s="1">
        <v>0</v>
      </c>
      <c r="H18" s="1">
        <f t="shared" si="1"/>
        <v>1042</v>
      </c>
      <c r="I18" s="460"/>
      <c r="J18" s="1">
        <f>VLOOKUP(B18,'App 4 - Recyclables'!$B$6:$H$133,7,FALSE)</f>
        <v>20.66</v>
      </c>
      <c r="K18" s="1">
        <f>VLOOKUP(B18,'App 5 - Organics'!$B$5:$AB$132,27,FALSE)</f>
        <v>0</v>
      </c>
      <c r="L18" s="461"/>
      <c r="M18" s="1">
        <f>VLOOKUP(B18,'App 4 - Recyclables'!$B$6:$P$133,15,FALSE)</f>
        <v>0</v>
      </c>
      <c r="N18" s="1">
        <f>VLOOKUP(B18,'App 5 - Organics'!$B$5:$P$132,15,FALSE)</f>
        <v>0</v>
      </c>
      <c r="O18" s="460"/>
      <c r="P18" s="1">
        <v>1286.31</v>
      </c>
      <c r="Q18" s="1">
        <v>442.77</v>
      </c>
      <c r="R18" s="1">
        <v>843.54</v>
      </c>
      <c r="S18" s="460"/>
      <c r="T18" s="1">
        <f>VLOOKUP(B18,'App 4 - Recyclables'!$B$6:$T$133,19,FALSE)</f>
        <v>0</v>
      </c>
      <c r="U18" s="1">
        <f>VLOOKUP(B18,'App 5 - Organics'!$B$5:$T$132,19,FALSE)</f>
        <v>0</v>
      </c>
      <c r="V18" s="460"/>
      <c r="W18" s="1">
        <v>0</v>
      </c>
      <c r="X18" s="1">
        <v>0</v>
      </c>
      <c r="Y18" s="1">
        <v>0</v>
      </c>
      <c r="Z18" s="460"/>
      <c r="AA18" s="462">
        <f t="shared" si="2"/>
        <v>1906.2</v>
      </c>
      <c r="AB18" s="460"/>
      <c r="AC18" s="463">
        <f t="shared" si="3"/>
        <v>2328.31</v>
      </c>
      <c r="AD18" s="463">
        <f t="shared" si="3"/>
        <v>442.77</v>
      </c>
      <c r="AE18" s="463">
        <f t="shared" si="3"/>
        <v>1885.54</v>
      </c>
      <c r="AF18" s="463">
        <f t="shared" si="4"/>
        <v>20.66</v>
      </c>
      <c r="AG18" s="463">
        <f t="shared" si="0"/>
        <v>0</v>
      </c>
      <c r="AH18" s="4"/>
      <c r="AI18" s="227">
        <v>0</v>
      </c>
      <c r="AJ18" s="227">
        <v>0</v>
      </c>
      <c r="AK18" s="227">
        <v>0</v>
      </c>
    </row>
    <row r="19" spans="1:37" x14ac:dyDescent="0.2">
      <c r="A19" s="8">
        <v>11150</v>
      </c>
      <c r="B19" s="8" t="s">
        <v>82</v>
      </c>
      <c r="C19" s="8" t="s">
        <v>38</v>
      </c>
      <c r="D19" s="29" t="s">
        <v>1</v>
      </c>
      <c r="E19" s="323"/>
      <c r="F19" s="1">
        <v>920</v>
      </c>
      <c r="G19" s="1">
        <v>0</v>
      </c>
      <c r="H19" s="1">
        <f>F19-G19</f>
        <v>920</v>
      </c>
      <c r="I19" s="460"/>
      <c r="J19" s="1">
        <f>VLOOKUP(B19,'App 4 - Recyclables'!$B$6:$H$133,7,FALSE)</f>
        <v>0</v>
      </c>
      <c r="K19" s="1">
        <f>VLOOKUP(B19,'App 5 - Organics'!$B$5:$AB$132,27,FALSE)</f>
        <v>0</v>
      </c>
      <c r="L19" s="461"/>
      <c r="M19" s="1">
        <f>VLOOKUP(B19,'App 4 - Recyclables'!$B$6:$P$133,15,FALSE)</f>
        <v>0</v>
      </c>
      <c r="N19" s="1">
        <f>VLOOKUP(B19,'App 5 - Organics'!$B$5:$P$132,15,FALSE)</f>
        <v>0</v>
      </c>
      <c r="O19" s="460"/>
      <c r="P19" s="1">
        <v>0</v>
      </c>
      <c r="Q19" s="1">
        <v>0</v>
      </c>
      <c r="R19" s="1">
        <v>0</v>
      </c>
      <c r="S19" s="460"/>
      <c r="T19" s="1">
        <f>VLOOKUP(B19,'App 4 - Recyclables'!$B$6:$T$133,19,FALSE)</f>
        <v>0</v>
      </c>
      <c r="U19" s="1">
        <f>VLOOKUP(B19,'App 5 - Organics'!$B$5:$T$132,19,FALSE)</f>
        <v>0</v>
      </c>
      <c r="V19" s="460"/>
      <c r="W19" s="1">
        <v>0</v>
      </c>
      <c r="X19" s="1">
        <v>0</v>
      </c>
      <c r="Y19" s="1">
        <v>0</v>
      </c>
      <c r="Z19" s="460"/>
      <c r="AA19" s="462">
        <f t="shared" si="2"/>
        <v>920</v>
      </c>
      <c r="AB19" s="460"/>
      <c r="AC19" s="463">
        <f t="shared" si="3"/>
        <v>920</v>
      </c>
      <c r="AD19" s="463">
        <f t="shared" si="3"/>
        <v>0</v>
      </c>
      <c r="AE19" s="463">
        <f t="shared" si="3"/>
        <v>920</v>
      </c>
      <c r="AF19" s="463">
        <f t="shared" si="4"/>
        <v>0</v>
      </c>
      <c r="AG19" s="463">
        <f t="shared" si="0"/>
        <v>0</v>
      </c>
      <c r="AH19" s="4"/>
      <c r="AI19" s="227">
        <v>0</v>
      </c>
      <c r="AJ19" s="227">
        <v>0</v>
      </c>
      <c r="AK19" s="227">
        <v>0</v>
      </c>
    </row>
    <row r="20" spans="1:37" x14ac:dyDescent="0.2">
      <c r="A20" s="8">
        <v>11200</v>
      </c>
      <c r="B20" s="8" t="s">
        <v>83</v>
      </c>
      <c r="C20" s="8" t="s">
        <v>38</v>
      </c>
      <c r="D20" s="29" t="s">
        <v>1</v>
      </c>
      <c r="E20" s="323"/>
      <c r="F20" s="1">
        <v>550</v>
      </c>
      <c r="G20" s="1">
        <v>0</v>
      </c>
      <c r="H20" s="1">
        <f t="shared" si="1"/>
        <v>550</v>
      </c>
      <c r="I20" s="460"/>
      <c r="J20" s="1">
        <f>VLOOKUP(B20,'App 4 - Recyclables'!$B$6:$H$133,7,FALSE)</f>
        <v>0</v>
      </c>
      <c r="K20" s="1">
        <f>VLOOKUP(B20,'App 5 - Organics'!$B$5:$AB$132,27,FALSE)</f>
        <v>0</v>
      </c>
      <c r="L20" s="461"/>
      <c r="M20" s="1">
        <f>VLOOKUP(B20,'App 4 - Recyclables'!$B$6:$P$133,15,FALSE)</f>
        <v>0</v>
      </c>
      <c r="N20" s="1">
        <f>VLOOKUP(B20,'App 5 - Organics'!$B$5:$P$132,15,FALSE)</f>
        <v>0</v>
      </c>
      <c r="O20" s="460"/>
      <c r="P20" s="1">
        <v>500</v>
      </c>
      <c r="Q20" s="1">
        <v>500</v>
      </c>
      <c r="R20" s="1">
        <v>0</v>
      </c>
      <c r="S20" s="460"/>
      <c r="T20" s="1">
        <f>VLOOKUP(B20,'App 4 - Recyclables'!$B$6:$T$133,19,FALSE)</f>
        <v>0</v>
      </c>
      <c r="U20" s="1">
        <f>VLOOKUP(B20,'App 5 - Organics'!$B$5:$T$132,19,FALSE)</f>
        <v>0</v>
      </c>
      <c r="V20" s="460"/>
      <c r="W20" s="1">
        <v>20</v>
      </c>
      <c r="X20" s="1">
        <v>0</v>
      </c>
      <c r="Y20" s="1">
        <v>20</v>
      </c>
      <c r="Z20" s="460"/>
      <c r="AA20" s="462">
        <f t="shared" si="2"/>
        <v>570</v>
      </c>
      <c r="AB20" s="460"/>
      <c r="AC20" s="463">
        <f t="shared" si="3"/>
        <v>1070</v>
      </c>
      <c r="AD20" s="463">
        <f t="shared" si="3"/>
        <v>500</v>
      </c>
      <c r="AE20" s="463">
        <f t="shared" si="3"/>
        <v>570</v>
      </c>
      <c r="AF20" s="463">
        <f t="shared" si="4"/>
        <v>0</v>
      </c>
      <c r="AG20" s="463">
        <f t="shared" si="0"/>
        <v>0</v>
      </c>
      <c r="AH20" s="4"/>
      <c r="AI20" s="227">
        <v>0</v>
      </c>
      <c r="AJ20" s="227">
        <v>0</v>
      </c>
      <c r="AK20" s="227">
        <v>0</v>
      </c>
    </row>
    <row r="21" spans="1:37" x14ac:dyDescent="0.2">
      <c r="A21" s="8">
        <v>11250</v>
      </c>
      <c r="B21" s="8" t="s">
        <v>84</v>
      </c>
      <c r="C21" s="8" t="s">
        <v>38</v>
      </c>
      <c r="D21" s="29" t="s">
        <v>1</v>
      </c>
      <c r="E21" s="323"/>
      <c r="F21" s="1">
        <v>7751.26</v>
      </c>
      <c r="G21" s="1">
        <v>0</v>
      </c>
      <c r="H21" s="1">
        <f t="shared" si="1"/>
        <v>7751.26</v>
      </c>
      <c r="I21" s="460"/>
      <c r="J21" s="1">
        <f>VLOOKUP(B21,'App 4 - Recyclables'!$B$6:$H$133,7,FALSE)</f>
        <v>0</v>
      </c>
      <c r="K21" s="1">
        <f>VLOOKUP(B21,'App 5 - Organics'!$B$5:$AB$132,27,FALSE)</f>
        <v>0</v>
      </c>
      <c r="L21" s="461"/>
      <c r="M21" s="1">
        <f>VLOOKUP(B21,'App 4 - Recyclables'!$B$6:$P$133,15,FALSE)</f>
        <v>902.43999999999994</v>
      </c>
      <c r="N21" s="1">
        <f>VLOOKUP(B21,'App 5 - Organics'!$B$5:$P$132,15,FALSE)</f>
        <v>0</v>
      </c>
      <c r="O21" s="460"/>
      <c r="P21" s="1">
        <v>10830.380000000001</v>
      </c>
      <c r="Q21" s="1">
        <v>25.050000000001091</v>
      </c>
      <c r="R21" s="1">
        <v>10805.33</v>
      </c>
      <c r="S21" s="460"/>
      <c r="T21" s="1">
        <f>VLOOKUP(B21,'App 4 - Recyclables'!$B$6:$T$133,19,FALSE)</f>
        <v>0</v>
      </c>
      <c r="U21" s="1">
        <f>VLOOKUP(B21,'App 5 - Organics'!$B$5:$T$132,19,FALSE)</f>
        <v>0</v>
      </c>
      <c r="V21" s="460"/>
      <c r="W21" s="1">
        <v>0</v>
      </c>
      <c r="X21" s="1">
        <v>0</v>
      </c>
      <c r="Y21" s="1">
        <v>0</v>
      </c>
      <c r="Z21" s="460"/>
      <c r="AA21" s="462">
        <f t="shared" si="2"/>
        <v>19459.03</v>
      </c>
      <c r="AB21" s="460"/>
      <c r="AC21" s="463">
        <f t="shared" si="3"/>
        <v>18581.64</v>
      </c>
      <c r="AD21" s="463">
        <f t="shared" si="3"/>
        <v>25.050000000001091</v>
      </c>
      <c r="AE21" s="463">
        <f t="shared" si="3"/>
        <v>18556.59</v>
      </c>
      <c r="AF21" s="463">
        <f t="shared" si="4"/>
        <v>902.43999999999994</v>
      </c>
      <c r="AG21" s="463">
        <f t="shared" si="0"/>
        <v>0</v>
      </c>
      <c r="AH21" s="4"/>
      <c r="AI21" s="227">
        <v>0</v>
      </c>
      <c r="AJ21" s="227">
        <v>0</v>
      </c>
      <c r="AK21" s="227">
        <v>0</v>
      </c>
    </row>
    <row r="22" spans="1:37" x14ac:dyDescent="0.2">
      <c r="A22" s="8">
        <v>11300</v>
      </c>
      <c r="B22" s="8" t="s">
        <v>85</v>
      </c>
      <c r="C22" s="8" t="s">
        <v>17</v>
      </c>
      <c r="D22" s="29" t="s">
        <v>2</v>
      </c>
      <c r="E22" s="323"/>
      <c r="F22" s="1">
        <v>8368.4599999999991</v>
      </c>
      <c r="G22" s="1">
        <v>2694.6399999999994</v>
      </c>
      <c r="H22" s="1">
        <f t="shared" si="1"/>
        <v>5673.82</v>
      </c>
      <c r="I22" s="460"/>
      <c r="J22" s="1">
        <f>VLOOKUP(B22,'App 4 - Recyclables'!$B$6:$H$133,7,FALSE)</f>
        <v>214.41</v>
      </c>
      <c r="K22" s="1">
        <f>VLOOKUP(B22,'App 5 - Organics'!$B$5:$AB$132,27,FALSE)</f>
        <v>60</v>
      </c>
      <c r="L22" s="461"/>
      <c r="M22" s="1">
        <f>VLOOKUP(B22,'App 4 - Recyclables'!$B$6:$P$133,15,FALSE)</f>
        <v>0</v>
      </c>
      <c r="N22" s="1">
        <f>VLOOKUP(B22,'App 5 - Organics'!$B$5:$P$132,15,FALSE)</f>
        <v>0</v>
      </c>
      <c r="O22" s="460"/>
      <c r="P22" s="1">
        <v>0</v>
      </c>
      <c r="Q22" s="1">
        <v>0</v>
      </c>
      <c r="R22" s="1">
        <v>0</v>
      </c>
      <c r="S22" s="460"/>
      <c r="T22" s="1">
        <f>VLOOKUP(B22,'App 4 - Recyclables'!$B$6:$T$133,19,FALSE)</f>
        <v>10</v>
      </c>
      <c r="U22" s="1">
        <f>VLOOKUP(B22,'App 5 - Organics'!$B$5:$T$132,19,FALSE)</f>
        <v>0</v>
      </c>
      <c r="V22" s="460"/>
      <c r="W22" s="1">
        <v>873.67</v>
      </c>
      <c r="X22" s="1">
        <v>672.72</v>
      </c>
      <c r="Y22" s="1">
        <v>200.95</v>
      </c>
      <c r="Z22" s="460"/>
      <c r="AA22" s="462">
        <f t="shared" si="2"/>
        <v>6159.1799999999994</v>
      </c>
      <c r="AB22" s="460"/>
      <c r="AC22" s="463">
        <f t="shared" si="3"/>
        <v>9242.1299999999992</v>
      </c>
      <c r="AD22" s="463">
        <f t="shared" si="3"/>
        <v>3367.3599999999997</v>
      </c>
      <c r="AE22" s="463">
        <f t="shared" si="3"/>
        <v>5874.7699999999995</v>
      </c>
      <c r="AF22" s="463">
        <f t="shared" si="4"/>
        <v>224.41</v>
      </c>
      <c r="AG22" s="463">
        <f t="shared" si="0"/>
        <v>60</v>
      </c>
      <c r="AH22" s="4"/>
      <c r="AI22" s="227">
        <v>180</v>
      </c>
      <c r="AJ22" s="227">
        <v>80</v>
      </c>
      <c r="AK22" s="227">
        <v>100</v>
      </c>
    </row>
    <row r="23" spans="1:37" x14ac:dyDescent="0.2">
      <c r="A23" s="8">
        <v>11350</v>
      </c>
      <c r="B23" s="8" t="s">
        <v>86</v>
      </c>
      <c r="C23" s="8" t="s">
        <v>19</v>
      </c>
      <c r="D23" s="29" t="s">
        <v>3</v>
      </c>
      <c r="E23" s="323"/>
      <c r="F23" s="1">
        <v>5830</v>
      </c>
      <c r="G23" s="1">
        <v>0</v>
      </c>
      <c r="H23" s="1">
        <f t="shared" si="1"/>
        <v>5830</v>
      </c>
      <c r="I23" s="460"/>
      <c r="J23" s="1">
        <f>VLOOKUP(B23,'App 4 - Recyclables'!$B$6:$H$133,7,FALSE)</f>
        <v>0</v>
      </c>
      <c r="K23" s="1">
        <f>VLOOKUP(B23,'App 5 - Organics'!$B$5:$AB$132,27,FALSE)</f>
        <v>0</v>
      </c>
      <c r="L23" s="461"/>
      <c r="M23" s="1">
        <f>VLOOKUP(B23,'App 4 - Recyclables'!$B$6:$P$133,15,FALSE)</f>
        <v>13.42</v>
      </c>
      <c r="N23" s="1">
        <f>VLOOKUP(B23,'App 5 - Organics'!$B$5:$P$132,15,FALSE)</f>
        <v>0</v>
      </c>
      <c r="O23" s="460"/>
      <c r="P23" s="1">
        <v>1911.17</v>
      </c>
      <c r="Q23" s="1">
        <v>111.17000000000007</v>
      </c>
      <c r="R23" s="1">
        <v>1800</v>
      </c>
      <c r="S23" s="460"/>
      <c r="T23" s="1">
        <f>VLOOKUP(B23,'App 4 - Recyclables'!$B$6:$T$133,19,FALSE)</f>
        <v>0</v>
      </c>
      <c r="U23" s="1">
        <f>VLOOKUP(B23,'App 5 - Organics'!$B$5:$T$132,19,FALSE)</f>
        <v>0</v>
      </c>
      <c r="V23" s="460"/>
      <c r="W23" s="1">
        <v>1095.8699999999999</v>
      </c>
      <c r="X23" s="1">
        <v>0</v>
      </c>
      <c r="Y23" s="1">
        <v>1095.8699999999999</v>
      </c>
      <c r="Z23" s="460"/>
      <c r="AA23" s="462">
        <f t="shared" si="2"/>
        <v>8739.2900000000009</v>
      </c>
      <c r="AB23" s="460"/>
      <c r="AC23" s="463">
        <f t="shared" si="3"/>
        <v>8837.0400000000009</v>
      </c>
      <c r="AD23" s="463">
        <f t="shared" si="3"/>
        <v>111.17000000000007</v>
      </c>
      <c r="AE23" s="463">
        <f t="shared" si="3"/>
        <v>8725.869999999999</v>
      </c>
      <c r="AF23" s="463">
        <f t="shared" si="4"/>
        <v>13.42</v>
      </c>
      <c r="AG23" s="463">
        <f t="shared" si="0"/>
        <v>0</v>
      </c>
      <c r="AH23" s="4"/>
      <c r="AI23" s="227">
        <v>711.52</v>
      </c>
      <c r="AJ23" s="227">
        <v>0.51999999999998181</v>
      </c>
      <c r="AK23" s="227">
        <v>711</v>
      </c>
    </row>
    <row r="24" spans="1:37" x14ac:dyDescent="0.2">
      <c r="A24" s="8">
        <v>11400</v>
      </c>
      <c r="B24" s="8" t="s">
        <v>87</v>
      </c>
      <c r="C24" s="8" t="s">
        <v>38</v>
      </c>
      <c r="D24" s="29" t="s">
        <v>1</v>
      </c>
      <c r="E24" s="323"/>
      <c r="F24" s="1">
        <v>2280.41</v>
      </c>
      <c r="G24" s="1">
        <v>0</v>
      </c>
      <c r="H24" s="1">
        <f t="shared" si="1"/>
        <v>2280.41</v>
      </c>
      <c r="I24" s="460"/>
      <c r="J24" s="1">
        <f>VLOOKUP(B24,'App 4 - Recyclables'!$B$6:$H$133,7,FALSE)</f>
        <v>0</v>
      </c>
      <c r="K24" s="1">
        <f>VLOOKUP(B24,'App 5 - Organics'!$B$5:$AB$132,27,FALSE)</f>
        <v>0</v>
      </c>
      <c r="L24" s="461"/>
      <c r="M24" s="1">
        <f>VLOOKUP(B24,'App 4 - Recyclables'!$B$6:$P$133,15,FALSE)</f>
        <v>0</v>
      </c>
      <c r="N24" s="1">
        <f>VLOOKUP(B24,'App 5 - Organics'!$B$5:$P$132,15,FALSE)</f>
        <v>0</v>
      </c>
      <c r="O24" s="460"/>
      <c r="P24" s="1">
        <v>1924.2</v>
      </c>
      <c r="Q24" s="1">
        <v>6</v>
      </c>
      <c r="R24" s="1">
        <v>1918.2</v>
      </c>
      <c r="S24" s="460"/>
      <c r="T24" s="1">
        <f>VLOOKUP(B24,'App 4 - Recyclables'!$B$6:$T$133,19,FALSE)</f>
        <v>0</v>
      </c>
      <c r="U24" s="1">
        <f>VLOOKUP(B24,'App 5 - Organics'!$B$5:$T$132,19,FALSE)</f>
        <v>0</v>
      </c>
      <c r="V24" s="460"/>
      <c r="W24" s="1">
        <v>108</v>
      </c>
      <c r="X24" s="1">
        <v>0</v>
      </c>
      <c r="Y24" s="1">
        <v>108</v>
      </c>
      <c r="Z24" s="460"/>
      <c r="AA24" s="462">
        <f t="shared" si="2"/>
        <v>4306.6099999999997</v>
      </c>
      <c r="AB24" s="460"/>
      <c r="AC24" s="463">
        <f t="shared" si="3"/>
        <v>4312.6099999999997</v>
      </c>
      <c r="AD24" s="463">
        <f t="shared" si="3"/>
        <v>6</v>
      </c>
      <c r="AE24" s="463">
        <f t="shared" si="3"/>
        <v>4306.6099999999997</v>
      </c>
      <c r="AF24" s="463">
        <f t="shared" si="4"/>
        <v>0</v>
      </c>
      <c r="AG24" s="463">
        <f t="shared" si="0"/>
        <v>0</v>
      </c>
      <c r="AH24" s="4"/>
      <c r="AI24" s="227">
        <v>0</v>
      </c>
      <c r="AJ24" s="227">
        <v>0</v>
      </c>
      <c r="AK24" s="227">
        <v>0</v>
      </c>
    </row>
    <row r="25" spans="1:37" x14ac:dyDescent="0.2">
      <c r="A25" s="8">
        <v>11450</v>
      </c>
      <c r="B25" s="8" t="s">
        <v>69</v>
      </c>
      <c r="C25" s="8" t="s">
        <v>182</v>
      </c>
      <c r="D25" s="29" t="s">
        <v>2</v>
      </c>
      <c r="E25" s="323"/>
      <c r="F25" s="1">
        <v>27503.599999999999</v>
      </c>
      <c r="G25" s="1">
        <v>10039.209999999999</v>
      </c>
      <c r="H25" s="1">
        <f>F25-G25</f>
        <v>17464.39</v>
      </c>
      <c r="I25" s="460"/>
      <c r="J25" s="1">
        <f>VLOOKUP(B25,'App 4 - Recyclables'!$B$6:$H$133,7,FALSE)</f>
        <v>2792.74</v>
      </c>
      <c r="K25" s="1">
        <f>VLOOKUP(B25,'App 5 - Organics'!$B$5:$AB$132,27,FALSE)</f>
        <v>423.99</v>
      </c>
      <c r="L25" s="461"/>
      <c r="M25" s="1">
        <f>VLOOKUP(B25,'App 4 - Recyclables'!$B$6:$P$133,15,FALSE)</f>
        <v>0</v>
      </c>
      <c r="N25" s="1">
        <f>VLOOKUP(B25,'App 5 - Organics'!$B$5:$P$132,15,FALSE)</f>
        <v>0</v>
      </c>
      <c r="O25" s="460"/>
      <c r="P25" s="1">
        <v>0.14000000000000001</v>
      </c>
      <c r="Q25" s="1">
        <v>0.14000000000000001</v>
      </c>
      <c r="R25" s="1">
        <v>0</v>
      </c>
      <c r="S25" s="460"/>
      <c r="T25" s="1">
        <f>VLOOKUP(B25,'App 4 - Recyclables'!$B$6:$T$133,19,FALSE)</f>
        <v>0</v>
      </c>
      <c r="U25" s="1">
        <f>VLOOKUP(B25,'App 5 - Organics'!$B$5:$T$132,19,FALSE)</f>
        <v>0</v>
      </c>
      <c r="V25" s="460"/>
      <c r="W25" s="1">
        <v>7.72</v>
      </c>
      <c r="X25" s="1">
        <v>0</v>
      </c>
      <c r="Y25" s="1">
        <v>7.72</v>
      </c>
      <c r="Z25" s="460"/>
      <c r="AA25" s="462">
        <f t="shared" si="2"/>
        <v>20688.84</v>
      </c>
      <c r="AB25" s="460"/>
      <c r="AC25" s="463">
        <f t="shared" si="3"/>
        <v>27511.46</v>
      </c>
      <c r="AD25" s="463">
        <f t="shared" si="3"/>
        <v>10039.349999999999</v>
      </c>
      <c r="AE25" s="463">
        <f t="shared" si="3"/>
        <v>17472.11</v>
      </c>
      <c r="AF25" s="463">
        <f t="shared" si="4"/>
        <v>2792.74</v>
      </c>
      <c r="AG25" s="463">
        <f t="shared" si="0"/>
        <v>423.99</v>
      </c>
      <c r="AH25" s="4"/>
      <c r="AI25" s="227">
        <v>430.5</v>
      </c>
      <c r="AJ25" s="227">
        <v>0</v>
      </c>
      <c r="AK25" s="227">
        <v>430.5</v>
      </c>
    </row>
    <row r="26" spans="1:37" x14ac:dyDescent="0.2">
      <c r="A26" s="8">
        <v>11500</v>
      </c>
      <c r="B26" s="8" t="s">
        <v>46</v>
      </c>
      <c r="C26" s="8" t="s">
        <v>182</v>
      </c>
      <c r="D26" s="29" t="s">
        <v>2</v>
      </c>
      <c r="E26" s="323"/>
      <c r="F26" s="1">
        <v>38135.54</v>
      </c>
      <c r="G26" s="1">
        <v>0</v>
      </c>
      <c r="H26" s="1">
        <f t="shared" si="1"/>
        <v>38135.54</v>
      </c>
      <c r="I26" s="460"/>
      <c r="J26" s="1">
        <f>VLOOKUP(B26,'App 4 - Recyclables'!$B$6:$H$133,7,FALSE)</f>
        <v>2950.92</v>
      </c>
      <c r="K26" s="1">
        <f>VLOOKUP(B26,'App 5 - Organics'!$B$5:$AB$132,27,FALSE)</f>
        <v>611.73</v>
      </c>
      <c r="L26" s="461"/>
      <c r="M26" s="1">
        <f>VLOOKUP(B26,'App 4 - Recyclables'!$B$6:$P$133,15,FALSE)</f>
        <v>0</v>
      </c>
      <c r="N26" s="1">
        <f>VLOOKUP(B26,'App 5 - Organics'!$B$5:$P$132,15,FALSE)</f>
        <v>0</v>
      </c>
      <c r="O26" s="460"/>
      <c r="P26" s="1">
        <v>1.6</v>
      </c>
      <c r="Q26" s="1">
        <v>1.6</v>
      </c>
      <c r="R26" s="1">
        <v>0</v>
      </c>
      <c r="S26" s="460"/>
      <c r="T26" s="1">
        <f>VLOOKUP(B26,'App 4 - Recyclables'!$B$6:$T$133,19,FALSE)</f>
        <v>0</v>
      </c>
      <c r="U26" s="1">
        <f>VLOOKUP(B26,'App 5 - Organics'!$B$5:$T$132,19,FALSE)</f>
        <v>0</v>
      </c>
      <c r="V26" s="460"/>
      <c r="W26" s="1">
        <v>9131.42</v>
      </c>
      <c r="X26" s="1">
        <v>0</v>
      </c>
      <c r="Y26" s="1">
        <v>9131.42</v>
      </c>
      <c r="Z26" s="460"/>
      <c r="AA26" s="462">
        <f t="shared" si="2"/>
        <v>50829.61</v>
      </c>
      <c r="AB26" s="460"/>
      <c r="AC26" s="463">
        <f t="shared" si="3"/>
        <v>47268.56</v>
      </c>
      <c r="AD26" s="463">
        <f t="shared" si="3"/>
        <v>1.6</v>
      </c>
      <c r="AE26" s="463">
        <f t="shared" si="3"/>
        <v>47266.96</v>
      </c>
      <c r="AF26" s="463">
        <f t="shared" si="4"/>
        <v>2950.92</v>
      </c>
      <c r="AG26" s="463">
        <f t="shared" si="0"/>
        <v>611.73</v>
      </c>
      <c r="AH26" s="4"/>
      <c r="AI26" s="227">
        <v>1490</v>
      </c>
      <c r="AJ26" s="227">
        <v>1400</v>
      </c>
      <c r="AK26" s="227">
        <v>90</v>
      </c>
    </row>
    <row r="27" spans="1:37" x14ac:dyDescent="0.2">
      <c r="A27" s="8">
        <v>11520</v>
      </c>
      <c r="B27" s="8" t="s">
        <v>88</v>
      </c>
      <c r="C27" s="8" t="s">
        <v>17</v>
      </c>
      <c r="D27" s="29" t="s">
        <v>2</v>
      </c>
      <c r="E27" s="323"/>
      <c r="F27" s="1">
        <v>18866</v>
      </c>
      <c r="G27" s="1">
        <v>0</v>
      </c>
      <c r="H27" s="1">
        <f t="shared" si="1"/>
        <v>18866</v>
      </c>
      <c r="I27" s="460"/>
      <c r="J27" s="1">
        <f>VLOOKUP(B27,'App 4 - Recyclables'!$B$6:$H$133,7,FALSE)</f>
        <v>670.65</v>
      </c>
      <c r="K27" s="1">
        <f>VLOOKUP(B27,'App 5 - Organics'!$B$5:$AB$132,27,FALSE)</f>
        <v>51.05</v>
      </c>
      <c r="L27" s="461"/>
      <c r="M27" s="1">
        <f>VLOOKUP(B27,'App 4 - Recyclables'!$B$6:$P$133,15,FALSE)</f>
        <v>0</v>
      </c>
      <c r="N27" s="1">
        <f>VLOOKUP(B27,'App 5 - Organics'!$B$5:$P$132,15,FALSE)</f>
        <v>0</v>
      </c>
      <c r="O27" s="460"/>
      <c r="P27" s="1">
        <v>0</v>
      </c>
      <c r="Q27" s="1">
        <v>0</v>
      </c>
      <c r="R27" s="1">
        <v>0</v>
      </c>
      <c r="S27" s="460"/>
      <c r="T27" s="1">
        <f>VLOOKUP(B27,'App 4 - Recyclables'!$B$6:$T$133,19,FALSE)</f>
        <v>0</v>
      </c>
      <c r="U27" s="1">
        <f>VLOOKUP(B27,'App 5 - Organics'!$B$5:$T$132,19,FALSE)</f>
        <v>0</v>
      </c>
      <c r="V27" s="460"/>
      <c r="W27" s="1">
        <v>2112</v>
      </c>
      <c r="X27" s="1">
        <v>847</v>
      </c>
      <c r="Y27" s="1">
        <v>1265</v>
      </c>
      <c r="Z27" s="460"/>
      <c r="AA27" s="462">
        <f t="shared" si="2"/>
        <v>20852.7</v>
      </c>
      <c r="AB27" s="460"/>
      <c r="AC27" s="463">
        <f t="shared" si="3"/>
        <v>20978</v>
      </c>
      <c r="AD27" s="463">
        <f t="shared" si="3"/>
        <v>847</v>
      </c>
      <c r="AE27" s="463">
        <f t="shared" si="3"/>
        <v>20131</v>
      </c>
      <c r="AF27" s="463">
        <f t="shared" si="4"/>
        <v>670.65</v>
      </c>
      <c r="AG27" s="463">
        <f t="shared" si="0"/>
        <v>51.05</v>
      </c>
      <c r="AH27" s="4"/>
      <c r="AI27" s="227">
        <v>1055</v>
      </c>
      <c r="AJ27" s="227">
        <v>0</v>
      </c>
      <c r="AK27" s="227">
        <v>1055</v>
      </c>
    </row>
    <row r="28" spans="1:37" x14ac:dyDescent="0.2">
      <c r="A28" s="8">
        <v>11570</v>
      </c>
      <c r="B28" s="8" t="s">
        <v>89</v>
      </c>
      <c r="C28" s="8" t="s">
        <v>17</v>
      </c>
      <c r="D28" s="29" t="s">
        <v>2</v>
      </c>
      <c r="E28" s="323"/>
      <c r="F28" s="1">
        <v>86358</v>
      </c>
      <c r="G28" s="1">
        <v>0</v>
      </c>
      <c r="H28" s="1">
        <f>F28-G28</f>
        <v>86358</v>
      </c>
      <c r="I28" s="460"/>
      <c r="J28" s="1">
        <f>VLOOKUP(B28,'App 4 - Recyclables'!$B$6:$H$133,7,FALSE)</f>
        <v>0</v>
      </c>
      <c r="K28" s="1">
        <f>VLOOKUP(B28,'App 5 - Organics'!$B$5:$AB$132,27,FALSE)</f>
        <v>1855.2</v>
      </c>
      <c r="L28" s="461"/>
      <c r="M28" s="1">
        <f>VLOOKUP(B28,'App 4 - Recyclables'!$B$6:$P$133,15,FALSE)</f>
        <v>0</v>
      </c>
      <c r="N28" s="1">
        <f>VLOOKUP(B28,'App 5 - Organics'!$B$5:$P$132,15,FALSE)</f>
        <v>0</v>
      </c>
      <c r="O28" s="460"/>
      <c r="P28" s="1">
        <v>0</v>
      </c>
      <c r="Q28" s="1">
        <v>0</v>
      </c>
      <c r="R28" s="1">
        <v>0</v>
      </c>
      <c r="S28" s="460"/>
      <c r="T28" s="1">
        <f>VLOOKUP(B28,'App 4 - Recyclables'!$B$6:$T$133,19,FALSE)</f>
        <v>0</v>
      </c>
      <c r="U28" s="1">
        <f>VLOOKUP(B28,'App 5 - Organics'!$B$5:$T$132,19,FALSE)</f>
        <v>0</v>
      </c>
      <c r="V28" s="460"/>
      <c r="W28" s="1">
        <v>12903</v>
      </c>
      <c r="X28" s="1">
        <v>3870.8999999999996</v>
      </c>
      <c r="Y28" s="1">
        <v>9032.1</v>
      </c>
      <c r="Z28" s="460"/>
      <c r="AA28" s="462">
        <f t="shared" si="2"/>
        <v>97245.3</v>
      </c>
      <c r="AB28" s="460"/>
      <c r="AC28" s="463">
        <f t="shared" si="3"/>
        <v>99261</v>
      </c>
      <c r="AD28" s="463">
        <f t="shared" si="3"/>
        <v>3870.8999999999996</v>
      </c>
      <c r="AE28" s="463">
        <f t="shared" si="3"/>
        <v>95390.1</v>
      </c>
      <c r="AF28" s="463">
        <f t="shared" si="4"/>
        <v>0</v>
      </c>
      <c r="AG28" s="463">
        <f t="shared" si="0"/>
        <v>1855.2</v>
      </c>
      <c r="AH28" s="4"/>
      <c r="AI28" s="227">
        <v>0</v>
      </c>
      <c r="AJ28" s="227">
        <v>0</v>
      </c>
      <c r="AK28" s="227">
        <v>0</v>
      </c>
    </row>
    <row r="29" spans="1:37" x14ac:dyDescent="0.2">
      <c r="A29" s="8">
        <v>11600</v>
      </c>
      <c r="B29" s="8" t="s">
        <v>90</v>
      </c>
      <c r="C29" s="8" t="s">
        <v>68</v>
      </c>
      <c r="D29" s="29" t="s">
        <v>1</v>
      </c>
      <c r="E29" s="323"/>
      <c r="F29" s="1">
        <v>754</v>
      </c>
      <c r="G29" s="1">
        <v>0</v>
      </c>
      <c r="H29" s="1">
        <f t="shared" si="1"/>
        <v>754</v>
      </c>
      <c r="I29" s="460"/>
      <c r="J29" s="1">
        <f>VLOOKUP(B29,'App 4 - Recyclables'!$B$6:$H$133,7,FALSE)</f>
        <v>0</v>
      </c>
      <c r="K29" s="1">
        <f>VLOOKUP(B29,'App 5 - Organics'!$B$5:$AB$132,27,FALSE)</f>
        <v>0</v>
      </c>
      <c r="L29" s="461"/>
      <c r="M29" s="1">
        <f>VLOOKUP(B29,'App 4 - Recyclables'!$B$6:$P$133,15,FALSE)</f>
        <v>0</v>
      </c>
      <c r="N29" s="1">
        <f>VLOOKUP(B29,'App 5 - Organics'!$B$5:$P$132,15,FALSE)</f>
        <v>0</v>
      </c>
      <c r="O29" s="460"/>
      <c r="P29" s="1">
        <v>0</v>
      </c>
      <c r="Q29" s="1">
        <v>0</v>
      </c>
      <c r="R29" s="1">
        <v>0</v>
      </c>
      <c r="S29" s="460"/>
      <c r="T29" s="1">
        <f>VLOOKUP(B29,'App 4 - Recyclables'!$B$6:$T$133,19,FALSE)</f>
        <v>0</v>
      </c>
      <c r="U29" s="1">
        <f>VLOOKUP(B29,'App 5 - Organics'!$B$5:$T$132,19,FALSE)</f>
        <v>0</v>
      </c>
      <c r="V29" s="460"/>
      <c r="W29" s="1">
        <v>0</v>
      </c>
      <c r="X29" s="1">
        <v>0</v>
      </c>
      <c r="Y29" s="1">
        <v>0</v>
      </c>
      <c r="Z29" s="460"/>
      <c r="AA29" s="462">
        <f t="shared" si="2"/>
        <v>754</v>
      </c>
      <c r="AB29" s="460"/>
      <c r="AC29" s="463">
        <f t="shared" si="3"/>
        <v>754</v>
      </c>
      <c r="AD29" s="463">
        <f t="shared" si="3"/>
        <v>0</v>
      </c>
      <c r="AE29" s="463">
        <f t="shared" si="3"/>
        <v>754</v>
      </c>
      <c r="AF29" s="463">
        <f t="shared" si="4"/>
        <v>0</v>
      </c>
      <c r="AG29" s="463">
        <f t="shared" si="0"/>
        <v>0</v>
      </c>
      <c r="AH29" s="4"/>
      <c r="AI29" s="227">
        <v>0</v>
      </c>
      <c r="AJ29" s="227">
        <v>0</v>
      </c>
      <c r="AK29" s="227">
        <v>0</v>
      </c>
    </row>
    <row r="30" spans="1:37" x14ac:dyDescent="0.2">
      <c r="A30" s="8">
        <v>11650</v>
      </c>
      <c r="B30" s="8" t="s">
        <v>91</v>
      </c>
      <c r="C30" s="8" t="s">
        <v>23</v>
      </c>
      <c r="D30" s="29" t="s">
        <v>2</v>
      </c>
      <c r="E30" s="323"/>
      <c r="F30" s="1">
        <v>79763</v>
      </c>
      <c r="G30" s="1">
        <v>0</v>
      </c>
      <c r="H30" s="1">
        <f t="shared" si="1"/>
        <v>79763</v>
      </c>
      <c r="I30" s="460"/>
      <c r="J30" s="1">
        <f>VLOOKUP(B30,'App 4 - Recyclables'!$B$6:$H$133,7,FALSE)</f>
        <v>1820</v>
      </c>
      <c r="K30" s="1">
        <f>VLOOKUP(B30,'App 5 - Organics'!$B$5:$AB$132,27,FALSE)</f>
        <v>108</v>
      </c>
      <c r="L30" s="461"/>
      <c r="M30" s="1">
        <f>VLOOKUP(B30,'App 4 - Recyclables'!$B$6:$P$133,15,FALSE)</f>
        <v>105</v>
      </c>
      <c r="N30" s="1">
        <f>VLOOKUP(B30,'App 5 - Organics'!$B$5:$P$132,15,FALSE)</f>
        <v>0</v>
      </c>
      <c r="O30" s="460"/>
      <c r="P30" s="1">
        <v>15268</v>
      </c>
      <c r="Q30" s="1">
        <v>0</v>
      </c>
      <c r="R30" s="1">
        <v>15268</v>
      </c>
      <c r="S30" s="460"/>
      <c r="T30" s="1">
        <f>VLOOKUP(B30,'App 4 - Recyclables'!$B$6:$T$133,19,FALSE)</f>
        <v>0</v>
      </c>
      <c r="U30" s="1">
        <f>VLOOKUP(B30,'App 5 - Organics'!$B$5:$T$132,19,FALSE)</f>
        <v>0</v>
      </c>
      <c r="V30" s="460"/>
      <c r="W30" s="1">
        <v>22456</v>
      </c>
      <c r="X30" s="1">
        <v>0</v>
      </c>
      <c r="Y30" s="1">
        <v>22456</v>
      </c>
      <c r="Z30" s="460"/>
      <c r="AA30" s="462">
        <f t="shared" si="2"/>
        <v>119520</v>
      </c>
      <c r="AB30" s="460"/>
      <c r="AC30" s="463">
        <f t="shared" si="3"/>
        <v>117487</v>
      </c>
      <c r="AD30" s="463">
        <f t="shared" si="3"/>
        <v>0</v>
      </c>
      <c r="AE30" s="463">
        <f t="shared" si="3"/>
        <v>117487</v>
      </c>
      <c r="AF30" s="463">
        <f t="shared" si="4"/>
        <v>1925</v>
      </c>
      <c r="AG30" s="463">
        <f t="shared" si="0"/>
        <v>108</v>
      </c>
      <c r="AH30" s="4"/>
      <c r="AI30" s="227">
        <v>4689</v>
      </c>
      <c r="AJ30" s="227">
        <v>0</v>
      </c>
      <c r="AK30" s="227">
        <v>4689</v>
      </c>
    </row>
    <row r="31" spans="1:37" ht="12" customHeight="1" x14ac:dyDescent="0.2">
      <c r="A31" s="8">
        <v>11700</v>
      </c>
      <c r="B31" s="8" t="s">
        <v>92</v>
      </c>
      <c r="C31" s="8" t="s">
        <v>38</v>
      </c>
      <c r="D31" s="29" t="s">
        <v>1</v>
      </c>
      <c r="E31" s="323"/>
      <c r="F31" s="1">
        <v>375</v>
      </c>
      <c r="G31" s="1">
        <v>0</v>
      </c>
      <c r="H31" s="1">
        <f t="shared" si="1"/>
        <v>375</v>
      </c>
      <c r="I31" s="460"/>
      <c r="J31" s="1">
        <f>VLOOKUP(B31,'App 4 - Recyclables'!$B$6:$H$133,7,FALSE)</f>
        <v>0</v>
      </c>
      <c r="K31" s="1">
        <f>VLOOKUP(B31,'App 5 - Organics'!$B$5:$AB$132,27,FALSE)</f>
        <v>0</v>
      </c>
      <c r="L31" s="461"/>
      <c r="M31" s="1">
        <f>VLOOKUP(B31,'App 4 - Recyclables'!$B$6:$P$133,15,FALSE)</f>
        <v>0</v>
      </c>
      <c r="N31" s="1">
        <f>VLOOKUP(B31,'App 5 - Organics'!$B$5:$P$132,15,FALSE)</f>
        <v>0</v>
      </c>
      <c r="O31" s="460"/>
      <c r="P31" s="1">
        <v>269</v>
      </c>
      <c r="Q31" s="1">
        <v>269</v>
      </c>
      <c r="R31" s="1">
        <v>0</v>
      </c>
      <c r="S31" s="460"/>
      <c r="T31" s="1">
        <f>VLOOKUP(B31,'App 4 - Recyclables'!$B$6:$T$133,19,FALSE)</f>
        <v>0</v>
      </c>
      <c r="U31" s="1">
        <f>VLOOKUP(B31,'App 5 - Organics'!$B$5:$T$132,19,FALSE)</f>
        <v>0</v>
      </c>
      <c r="V31" s="460"/>
      <c r="W31" s="1">
        <v>10</v>
      </c>
      <c r="X31" s="1">
        <v>10</v>
      </c>
      <c r="Y31" s="1">
        <v>0</v>
      </c>
      <c r="Z31" s="460"/>
      <c r="AA31" s="462">
        <f t="shared" si="2"/>
        <v>375</v>
      </c>
      <c r="AB31" s="460"/>
      <c r="AC31" s="463">
        <f t="shared" si="3"/>
        <v>654</v>
      </c>
      <c r="AD31" s="463">
        <f t="shared" si="3"/>
        <v>279</v>
      </c>
      <c r="AE31" s="463">
        <f t="shared" si="3"/>
        <v>375</v>
      </c>
      <c r="AF31" s="463">
        <f t="shared" si="4"/>
        <v>0</v>
      </c>
      <c r="AG31" s="463">
        <f t="shared" si="0"/>
        <v>0</v>
      </c>
      <c r="AH31" s="4"/>
      <c r="AI31" s="227">
        <v>0</v>
      </c>
      <c r="AJ31" s="227">
        <v>0</v>
      </c>
      <c r="AK31" s="227">
        <v>0</v>
      </c>
    </row>
    <row r="32" spans="1:37" x14ac:dyDescent="0.2">
      <c r="A32" s="8">
        <v>11720</v>
      </c>
      <c r="B32" s="8" t="s">
        <v>93</v>
      </c>
      <c r="C32" s="8" t="s">
        <v>23</v>
      </c>
      <c r="D32" s="29" t="s">
        <v>2</v>
      </c>
      <c r="E32" s="323"/>
      <c r="F32" s="1">
        <v>17484</v>
      </c>
      <c r="G32" s="1">
        <v>0</v>
      </c>
      <c r="H32" s="1">
        <f t="shared" si="1"/>
        <v>17484</v>
      </c>
      <c r="I32" s="460"/>
      <c r="J32" s="1">
        <f>VLOOKUP(B32,'App 4 - Recyclables'!$B$6:$H$133,7,FALSE)</f>
        <v>328.4</v>
      </c>
      <c r="K32" s="1">
        <f>VLOOKUP(B32,'App 5 - Organics'!$B$5:$AB$132,27,FALSE)</f>
        <v>25.1</v>
      </c>
      <c r="L32" s="461"/>
      <c r="M32" s="1">
        <f>VLOOKUP(B32,'App 4 - Recyclables'!$B$6:$P$133,15,FALSE)</f>
        <v>0</v>
      </c>
      <c r="N32" s="1">
        <f>VLOOKUP(B32,'App 5 - Organics'!$B$5:$P$132,15,FALSE)</f>
        <v>0</v>
      </c>
      <c r="O32" s="460"/>
      <c r="P32" s="1">
        <v>9666</v>
      </c>
      <c r="Q32" s="1">
        <v>17</v>
      </c>
      <c r="R32" s="1">
        <v>9649</v>
      </c>
      <c r="S32" s="460"/>
      <c r="T32" s="1">
        <f>VLOOKUP(B32,'App 4 - Recyclables'!$B$6:$T$133,19,FALSE)</f>
        <v>0</v>
      </c>
      <c r="U32" s="1">
        <f>VLOOKUP(B32,'App 5 - Organics'!$B$5:$T$132,19,FALSE)</f>
        <v>0</v>
      </c>
      <c r="V32" s="460"/>
      <c r="W32" s="1">
        <v>0</v>
      </c>
      <c r="X32" s="1">
        <v>0</v>
      </c>
      <c r="Y32" s="1">
        <v>0</v>
      </c>
      <c r="Z32" s="460"/>
      <c r="AA32" s="462">
        <f t="shared" si="2"/>
        <v>27486.5</v>
      </c>
      <c r="AB32" s="460"/>
      <c r="AC32" s="463">
        <f t="shared" si="3"/>
        <v>27150</v>
      </c>
      <c r="AD32" s="463">
        <f t="shared" si="3"/>
        <v>17</v>
      </c>
      <c r="AE32" s="463">
        <f t="shared" si="3"/>
        <v>27133</v>
      </c>
      <c r="AF32" s="463">
        <f t="shared" si="4"/>
        <v>328.4</v>
      </c>
      <c r="AG32" s="463">
        <f t="shared" si="0"/>
        <v>25.1</v>
      </c>
      <c r="AH32" s="4"/>
      <c r="AI32" s="227">
        <v>2021</v>
      </c>
      <c r="AJ32" s="227">
        <v>0</v>
      </c>
      <c r="AK32" s="227">
        <v>2021</v>
      </c>
    </row>
    <row r="33" spans="1:37" x14ac:dyDescent="0.2">
      <c r="A33" s="8">
        <v>11730</v>
      </c>
      <c r="B33" s="8" t="s">
        <v>94</v>
      </c>
      <c r="C33" s="8" t="s">
        <v>19</v>
      </c>
      <c r="D33" s="29" t="s">
        <v>3</v>
      </c>
      <c r="E33" s="323"/>
      <c r="F33" s="1">
        <v>8400</v>
      </c>
      <c r="G33" s="1">
        <v>0</v>
      </c>
      <c r="H33" s="1">
        <f>F33-G33</f>
        <v>8400</v>
      </c>
      <c r="I33" s="460"/>
      <c r="J33" s="1">
        <f>VLOOKUP(B33,'App 4 - Recyclables'!$B$6:$H$133,7,FALSE)</f>
        <v>211.4</v>
      </c>
      <c r="K33" s="1">
        <f>VLOOKUP(B33,'App 5 - Organics'!$B$5:$AB$132,27,FALSE)</f>
        <v>80.489999999999995</v>
      </c>
      <c r="L33" s="461"/>
      <c r="M33" s="1">
        <f>VLOOKUP(B33,'App 4 - Recyclables'!$B$6:$P$133,15,FALSE)</f>
        <v>0</v>
      </c>
      <c r="N33" s="1">
        <f>VLOOKUP(B33,'App 5 - Organics'!$B$5:$P$132,15,FALSE)</f>
        <v>0</v>
      </c>
      <c r="O33" s="460"/>
      <c r="P33" s="1">
        <v>2775</v>
      </c>
      <c r="Q33" s="1">
        <v>0</v>
      </c>
      <c r="R33" s="1">
        <v>2775</v>
      </c>
      <c r="S33" s="460"/>
      <c r="T33" s="1">
        <f>VLOOKUP(B33,'App 4 - Recyclables'!$B$6:$T$133,19,FALSE)</f>
        <v>0</v>
      </c>
      <c r="U33" s="1">
        <f>VLOOKUP(B33,'App 5 - Organics'!$B$5:$T$132,19,FALSE)</f>
        <v>0</v>
      </c>
      <c r="V33" s="460"/>
      <c r="W33" s="1">
        <v>0</v>
      </c>
      <c r="X33" s="1">
        <v>0</v>
      </c>
      <c r="Y33" s="1">
        <v>0</v>
      </c>
      <c r="Z33" s="460"/>
      <c r="AA33" s="462">
        <f t="shared" si="2"/>
        <v>11466.89</v>
      </c>
      <c r="AB33" s="460"/>
      <c r="AC33" s="463">
        <f t="shared" si="3"/>
        <v>11175</v>
      </c>
      <c r="AD33" s="463">
        <f t="shared" si="3"/>
        <v>0</v>
      </c>
      <c r="AE33" s="463">
        <f t="shared" si="3"/>
        <v>11175</v>
      </c>
      <c r="AF33" s="463">
        <f t="shared" si="4"/>
        <v>211.4</v>
      </c>
      <c r="AG33" s="463">
        <f t="shared" si="0"/>
        <v>80.489999999999995</v>
      </c>
      <c r="AH33" s="4"/>
      <c r="AI33" s="227">
        <v>0</v>
      </c>
      <c r="AJ33" s="227">
        <v>0</v>
      </c>
      <c r="AK33" s="227">
        <v>0</v>
      </c>
    </row>
    <row r="34" spans="1:37" x14ac:dyDescent="0.2">
      <c r="A34" s="8">
        <v>11750</v>
      </c>
      <c r="B34" s="8" t="s">
        <v>95</v>
      </c>
      <c r="C34" s="8" t="s">
        <v>38</v>
      </c>
      <c r="D34" s="29" t="s">
        <v>1</v>
      </c>
      <c r="E34" s="323"/>
      <c r="F34" s="1">
        <v>883</v>
      </c>
      <c r="G34" s="1">
        <v>0</v>
      </c>
      <c r="H34" s="1">
        <f t="shared" si="1"/>
        <v>883</v>
      </c>
      <c r="I34" s="460"/>
      <c r="J34" s="1">
        <f>VLOOKUP(B34,'App 4 - Recyclables'!$B$6:$H$133,7,FALSE)</f>
        <v>0</v>
      </c>
      <c r="K34" s="1">
        <f>VLOOKUP(B34,'App 5 - Organics'!$B$5:$AB$132,27,FALSE)</f>
        <v>0</v>
      </c>
      <c r="L34" s="461"/>
      <c r="M34" s="1">
        <f>VLOOKUP(B34,'App 4 - Recyclables'!$B$6:$P$133,15,FALSE)</f>
        <v>0</v>
      </c>
      <c r="N34" s="1">
        <f>VLOOKUP(B34,'App 5 - Organics'!$B$5:$P$132,15,FALSE)</f>
        <v>0</v>
      </c>
      <c r="O34" s="460"/>
      <c r="P34" s="1">
        <v>0</v>
      </c>
      <c r="Q34" s="1">
        <v>0</v>
      </c>
      <c r="R34" s="1">
        <v>0</v>
      </c>
      <c r="S34" s="460"/>
      <c r="T34" s="1">
        <f>VLOOKUP(B34,'App 4 - Recyclables'!$B$6:$T$133,19,FALSE)</f>
        <v>0</v>
      </c>
      <c r="U34" s="1">
        <f>VLOOKUP(B34,'App 5 - Organics'!$B$5:$T$132,19,FALSE)</f>
        <v>0</v>
      </c>
      <c r="V34" s="460"/>
      <c r="W34" s="1">
        <v>0</v>
      </c>
      <c r="X34" s="1">
        <v>0</v>
      </c>
      <c r="Y34" s="1">
        <v>0</v>
      </c>
      <c r="Z34" s="460"/>
      <c r="AA34" s="462">
        <f t="shared" si="2"/>
        <v>883</v>
      </c>
      <c r="AB34" s="460"/>
      <c r="AC34" s="463">
        <f t="shared" si="3"/>
        <v>883</v>
      </c>
      <c r="AD34" s="463">
        <f t="shared" si="3"/>
        <v>0</v>
      </c>
      <c r="AE34" s="463">
        <f t="shared" si="3"/>
        <v>883</v>
      </c>
      <c r="AF34" s="463">
        <f t="shared" si="4"/>
        <v>0</v>
      </c>
      <c r="AG34" s="463">
        <f t="shared" si="0"/>
        <v>0</v>
      </c>
      <c r="AH34" s="4"/>
      <c r="AI34" s="227">
        <v>0</v>
      </c>
      <c r="AJ34" s="227">
        <v>0</v>
      </c>
      <c r="AK34" s="227">
        <v>0</v>
      </c>
    </row>
    <row r="35" spans="1:37" x14ac:dyDescent="0.2">
      <c r="A35" s="8">
        <v>11800</v>
      </c>
      <c r="B35" s="8" t="s">
        <v>42</v>
      </c>
      <c r="C35" s="8" t="s">
        <v>39</v>
      </c>
      <c r="D35" s="29" t="s">
        <v>3</v>
      </c>
      <c r="E35" s="323"/>
      <c r="F35" s="1">
        <v>14093.14</v>
      </c>
      <c r="G35" s="1">
        <v>0</v>
      </c>
      <c r="H35" s="1">
        <f t="shared" si="1"/>
        <v>14093.14</v>
      </c>
      <c r="I35" s="460"/>
      <c r="J35" s="1">
        <f>VLOOKUP(B35,'App 4 - Recyclables'!$B$6:$H$133,7,FALSE)</f>
        <v>467.76</v>
      </c>
      <c r="K35" s="1">
        <f>VLOOKUP(B35,'App 5 - Organics'!$B$5:$AB$132,27,FALSE)</f>
        <v>233.96</v>
      </c>
      <c r="L35" s="461"/>
      <c r="M35" s="1">
        <f>VLOOKUP(B35,'App 4 - Recyclables'!$B$6:$P$133,15,FALSE)</f>
        <v>0</v>
      </c>
      <c r="N35" s="1">
        <f>VLOOKUP(B35,'App 5 - Organics'!$B$5:$P$132,15,FALSE)</f>
        <v>0</v>
      </c>
      <c r="O35" s="460"/>
      <c r="P35" s="1">
        <v>10117.59</v>
      </c>
      <c r="Q35" s="1">
        <v>0</v>
      </c>
      <c r="R35" s="1">
        <v>10117.59</v>
      </c>
      <c r="S35" s="460"/>
      <c r="T35" s="1">
        <f>VLOOKUP(B35,'App 4 - Recyclables'!$B$6:$T$133,19,FALSE)</f>
        <v>0</v>
      </c>
      <c r="U35" s="1">
        <f>VLOOKUP(B35,'App 5 - Organics'!$B$5:$T$132,19,FALSE)</f>
        <v>0</v>
      </c>
      <c r="V35" s="460"/>
      <c r="W35" s="1">
        <v>1063.05</v>
      </c>
      <c r="X35" s="1">
        <v>0</v>
      </c>
      <c r="Y35" s="1">
        <v>1063.05</v>
      </c>
      <c r="Z35" s="460"/>
      <c r="AA35" s="462">
        <f t="shared" si="2"/>
        <v>25975.499999999996</v>
      </c>
      <c r="AB35" s="460"/>
      <c r="AC35" s="463">
        <f t="shared" si="3"/>
        <v>25273.78</v>
      </c>
      <c r="AD35" s="463">
        <f t="shared" si="3"/>
        <v>0</v>
      </c>
      <c r="AE35" s="463">
        <f t="shared" si="3"/>
        <v>25273.78</v>
      </c>
      <c r="AF35" s="463">
        <f t="shared" si="4"/>
        <v>467.76</v>
      </c>
      <c r="AG35" s="463">
        <f t="shared" si="0"/>
        <v>233.96</v>
      </c>
      <c r="AH35" s="4"/>
      <c r="AI35" s="227">
        <v>12.5</v>
      </c>
      <c r="AJ35" s="227">
        <v>0</v>
      </c>
      <c r="AK35" s="227">
        <v>12.5</v>
      </c>
    </row>
    <row r="36" spans="1:37" x14ac:dyDescent="0.2">
      <c r="A36" s="8">
        <v>12000</v>
      </c>
      <c r="B36" s="8" t="s">
        <v>96</v>
      </c>
      <c r="C36" s="8" t="s">
        <v>21</v>
      </c>
      <c r="D36" s="29" t="s">
        <v>1</v>
      </c>
      <c r="E36" s="323"/>
      <c r="F36" s="1">
        <v>816</v>
      </c>
      <c r="G36" s="1">
        <v>0</v>
      </c>
      <c r="H36" s="1">
        <f t="shared" si="1"/>
        <v>816</v>
      </c>
      <c r="I36" s="460"/>
      <c r="J36" s="1">
        <f>VLOOKUP(B36,'App 4 - Recyclables'!$B$6:$H$133,7,FALSE)</f>
        <v>0</v>
      </c>
      <c r="K36" s="1">
        <f>VLOOKUP(B36,'App 5 - Organics'!$B$5:$AB$132,27,FALSE)</f>
        <v>0</v>
      </c>
      <c r="L36" s="461"/>
      <c r="M36" s="1">
        <f>VLOOKUP(B36,'App 4 - Recyclables'!$B$6:$P$133,15,FALSE)</f>
        <v>0</v>
      </c>
      <c r="N36" s="1">
        <f>VLOOKUP(B36,'App 5 - Organics'!$B$5:$P$132,15,FALSE)</f>
        <v>80</v>
      </c>
      <c r="O36" s="460"/>
      <c r="P36" s="1">
        <v>347</v>
      </c>
      <c r="Q36" s="1">
        <v>23</v>
      </c>
      <c r="R36" s="1">
        <v>324</v>
      </c>
      <c r="S36" s="460"/>
      <c r="T36" s="1">
        <f>VLOOKUP(B36,'App 4 - Recyclables'!$B$6:$T$133,19,FALSE)</f>
        <v>0</v>
      </c>
      <c r="U36" s="1">
        <f>VLOOKUP(B36,'App 5 - Organics'!$B$5:$T$132,19,FALSE)</f>
        <v>0</v>
      </c>
      <c r="V36" s="460"/>
      <c r="W36" s="1">
        <v>65</v>
      </c>
      <c r="X36" s="1">
        <v>0</v>
      </c>
      <c r="Y36" s="1">
        <v>65</v>
      </c>
      <c r="Z36" s="460"/>
      <c r="AA36" s="462">
        <f t="shared" si="2"/>
        <v>1285</v>
      </c>
      <c r="AB36" s="460"/>
      <c r="AC36" s="463">
        <f t="shared" si="3"/>
        <v>1228</v>
      </c>
      <c r="AD36" s="463">
        <f t="shared" si="3"/>
        <v>23</v>
      </c>
      <c r="AE36" s="463">
        <f t="shared" si="3"/>
        <v>1205</v>
      </c>
      <c r="AF36" s="463">
        <f t="shared" si="4"/>
        <v>0</v>
      </c>
      <c r="AG36" s="463">
        <f t="shared" si="0"/>
        <v>80</v>
      </c>
      <c r="AH36" s="4"/>
      <c r="AI36" s="227">
        <v>0</v>
      </c>
      <c r="AJ36" s="227">
        <v>0</v>
      </c>
      <c r="AK36" s="227">
        <v>0</v>
      </c>
    </row>
    <row r="37" spans="1:37" x14ac:dyDescent="0.2">
      <c r="A37" s="8">
        <v>12150</v>
      </c>
      <c r="B37" s="8" t="s">
        <v>97</v>
      </c>
      <c r="C37" s="8" t="s">
        <v>38</v>
      </c>
      <c r="D37" s="29" t="s">
        <v>1</v>
      </c>
      <c r="E37" s="323"/>
      <c r="F37" s="1">
        <v>4000</v>
      </c>
      <c r="G37" s="1">
        <v>0</v>
      </c>
      <c r="H37" s="1">
        <f t="shared" si="1"/>
        <v>4000</v>
      </c>
      <c r="I37" s="460"/>
      <c r="J37" s="1">
        <f>VLOOKUP(B37,'App 4 - Recyclables'!$B$6:$H$133,7,FALSE)</f>
        <v>0</v>
      </c>
      <c r="K37" s="1">
        <f>VLOOKUP(B37,'App 5 - Organics'!$B$5:$AB$132,27,FALSE)</f>
        <v>0</v>
      </c>
      <c r="L37" s="461"/>
      <c r="M37" s="1">
        <f>VLOOKUP(B37,'App 4 - Recyclables'!$B$6:$P$133,15,FALSE)</f>
        <v>0</v>
      </c>
      <c r="N37" s="1">
        <f>VLOOKUP(B37,'App 5 - Organics'!$B$5:$P$132,15,FALSE)</f>
        <v>0</v>
      </c>
      <c r="O37" s="460"/>
      <c r="P37" s="1">
        <v>0</v>
      </c>
      <c r="Q37" s="1">
        <v>0</v>
      </c>
      <c r="R37" s="1">
        <v>0</v>
      </c>
      <c r="S37" s="460"/>
      <c r="T37" s="1">
        <f>VLOOKUP(B37,'App 4 - Recyclables'!$B$6:$T$133,19,FALSE)</f>
        <v>0</v>
      </c>
      <c r="U37" s="1">
        <f>VLOOKUP(B37,'App 5 - Organics'!$B$5:$T$132,19,FALSE)</f>
        <v>0</v>
      </c>
      <c r="V37" s="460"/>
      <c r="W37" s="1">
        <v>0</v>
      </c>
      <c r="X37" s="1">
        <v>0</v>
      </c>
      <c r="Y37" s="1">
        <v>0</v>
      </c>
      <c r="Z37" s="460"/>
      <c r="AA37" s="462">
        <f t="shared" si="2"/>
        <v>4000</v>
      </c>
      <c r="AB37" s="460"/>
      <c r="AC37" s="463">
        <f t="shared" ref="AC37:AE68" si="5">F37+P37+W37</f>
        <v>4000</v>
      </c>
      <c r="AD37" s="463">
        <f t="shared" si="5"/>
        <v>0</v>
      </c>
      <c r="AE37" s="463">
        <f t="shared" si="5"/>
        <v>4000</v>
      </c>
      <c r="AF37" s="463">
        <f t="shared" si="4"/>
        <v>0</v>
      </c>
      <c r="AG37" s="463">
        <f t="shared" si="0"/>
        <v>0</v>
      </c>
      <c r="AH37" s="4"/>
      <c r="AI37" s="227">
        <v>200</v>
      </c>
      <c r="AJ37" s="227">
        <v>0</v>
      </c>
      <c r="AK37" s="227">
        <v>200</v>
      </c>
    </row>
    <row r="38" spans="1:37" x14ac:dyDescent="0.2">
      <c r="A38" s="8">
        <v>12160</v>
      </c>
      <c r="B38" s="8" t="s">
        <v>98</v>
      </c>
      <c r="C38" s="8" t="s">
        <v>21</v>
      </c>
      <c r="D38" s="29" t="s">
        <v>1</v>
      </c>
      <c r="E38" s="323"/>
      <c r="F38" s="1">
        <v>1966</v>
      </c>
      <c r="G38" s="1">
        <v>0</v>
      </c>
      <c r="H38" s="1">
        <f t="shared" si="1"/>
        <v>1966</v>
      </c>
      <c r="I38" s="460"/>
      <c r="J38" s="1">
        <f>VLOOKUP(B38,'App 4 - Recyclables'!$B$6:$H$133,7,FALSE)</f>
        <v>117</v>
      </c>
      <c r="K38" s="1">
        <f>VLOOKUP(B38,'App 5 - Organics'!$B$5:$AB$132,27,FALSE)</f>
        <v>0</v>
      </c>
      <c r="L38" s="461"/>
      <c r="M38" s="1">
        <f>VLOOKUP(B38,'App 4 - Recyclables'!$B$6:$P$133,15,FALSE)</f>
        <v>0</v>
      </c>
      <c r="N38" s="1">
        <f>VLOOKUP(B38,'App 5 - Organics'!$B$5:$P$132,15,FALSE)</f>
        <v>0</v>
      </c>
      <c r="O38" s="460"/>
      <c r="P38" s="1">
        <v>930.94</v>
      </c>
      <c r="Q38" s="1">
        <v>0</v>
      </c>
      <c r="R38" s="1">
        <v>930.94</v>
      </c>
      <c r="S38" s="460"/>
      <c r="T38" s="1">
        <f>VLOOKUP(B38,'App 4 - Recyclables'!$B$6:$T$133,19,FALSE)</f>
        <v>0</v>
      </c>
      <c r="U38" s="1">
        <f>VLOOKUP(B38,'App 5 - Organics'!$B$5:$T$132,19,FALSE)</f>
        <v>0</v>
      </c>
      <c r="V38" s="460"/>
      <c r="W38" s="1">
        <v>0</v>
      </c>
      <c r="X38" s="1">
        <v>0</v>
      </c>
      <c r="Y38" s="1">
        <v>0</v>
      </c>
      <c r="Z38" s="460"/>
      <c r="AA38" s="462">
        <f t="shared" si="2"/>
        <v>3013.94</v>
      </c>
      <c r="AB38" s="460"/>
      <c r="AC38" s="463">
        <f t="shared" si="5"/>
        <v>2896.94</v>
      </c>
      <c r="AD38" s="463">
        <f t="shared" si="5"/>
        <v>0</v>
      </c>
      <c r="AE38" s="463">
        <f t="shared" si="5"/>
        <v>2896.94</v>
      </c>
      <c r="AF38" s="463">
        <f t="shared" si="4"/>
        <v>117</v>
      </c>
      <c r="AG38" s="463">
        <f t="shared" si="0"/>
        <v>0</v>
      </c>
      <c r="AH38" s="4"/>
      <c r="AI38" s="227">
        <v>759</v>
      </c>
      <c r="AJ38" s="227">
        <v>-9.9999999999909051E-3</v>
      </c>
      <c r="AK38" s="227">
        <v>759.01</v>
      </c>
    </row>
    <row r="39" spans="1:37" x14ac:dyDescent="0.2">
      <c r="A39" s="8">
        <v>12350</v>
      </c>
      <c r="B39" s="8" t="s">
        <v>99</v>
      </c>
      <c r="C39" s="8" t="s">
        <v>38</v>
      </c>
      <c r="D39" s="29" t="s">
        <v>1</v>
      </c>
      <c r="E39" s="323"/>
      <c r="F39" s="1">
        <v>3117.48</v>
      </c>
      <c r="G39" s="1">
        <v>0</v>
      </c>
      <c r="H39" s="1">
        <f t="shared" si="1"/>
        <v>3117.48</v>
      </c>
      <c r="I39" s="460"/>
      <c r="J39" s="1">
        <f>VLOOKUP(B39,'App 4 - Recyclables'!$B$6:$H$133,7,FALSE)</f>
        <v>436.21</v>
      </c>
      <c r="K39" s="1">
        <f>VLOOKUP(B39,'App 5 - Organics'!$B$5:$AB$132,27,FALSE)</f>
        <v>0</v>
      </c>
      <c r="L39" s="461"/>
      <c r="M39" s="1">
        <f>VLOOKUP(B39,'App 4 - Recyclables'!$B$6:$P$133,15,FALSE)</f>
        <v>0</v>
      </c>
      <c r="N39" s="1">
        <f>VLOOKUP(B39,'App 5 - Organics'!$B$5:$P$132,15,FALSE)</f>
        <v>0</v>
      </c>
      <c r="O39" s="460"/>
      <c r="P39" s="1">
        <v>1248.1799999999998</v>
      </c>
      <c r="Q39" s="1">
        <v>11.659999999999854</v>
      </c>
      <c r="R39" s="1">
        <v>1236.52</v>
      </c>
      <c r="S39" s="460"/>
      <c r="T39" s="1">
        <f>VLOOKUP(B39,'App 4 - Recyclables'!$B$6:$T$133,19,FALSE)</f>
        <v>0</v>
      </c>
      <c r="U39" s="1">
        <f>VLOOKUP(B39,'App 5 - Organics'!$B$5:$T$132,19,FALSE)</f>
        <v>0</v>
      </c>
      <c r="V39" s="460"/>
      <c r="W39" s="1">
        <v>0</v>
      </c>
      <c r="X39" s="1">
        <v>0</v>
      </c>
      <c r="Y39" s="1">
        <v>0</v>
      </c>
      <c r="Z39" s="460"/>
      <c r="AA39" s="462">
        <f t="shared" si="2"/>
        <v>4790.21</v>
      </c>
      <c r="AB39" s="460"/>
      <c r="AC39" s="463">
        <f t="shared" si="5"/>
        <v>4365.66</v>
      </c>
      <c r="AD39" s="463">
        <f t="shared" si="5"/>
        <v>11.659999999999854</v>
      </c>
      <c r="AE39" s="463">
        <f t="shared" si="5"/>
        <v>4354</v>
      </c>
      <c r="AF39" s="463">
        <f t="shared" si="4"/>
        <v>436.21</v>
      </c>
      <c r="AG39" s="463">
        <f t="shared" si="0"/>
        <v>0</v>
      </c>
      <c r="AH39" s="4"/>
      <c r="AI39" s="227">
        <v>0</v>
      </c>
      <c r="AJ39" s="227">
        <v>0</v>
      </c>
      <c r="AK39" s="227">
        <v>0</v>
      </c>
    </row>
    <row r="40" spans="1:37" x14ac:dyDescent="0.2">
      <c r="A40" s="8">
        <v>12380</v>
      </c>
      <c r="B40" s="8" t="s">
        <v>47</v>
      </c>
      <c r="C40" s="8" t="s">
        <v>18</v>
      </c>
      <c r="D40" s="29" t="s">
        <v>2</v>
      </c>
      <c r="E40" s="323"/>
      <c r="F40" s="1">
        <v>67859</v>
      </c>
      <c r="G40" s="1">
        <v>0</v>
      </c>
      <c r="H40" s="1">
        <v>67859</v>
      </c>
      <c r="I40" s="460"/>
      <c r="J40" s="1">
        <f>VLOOKUP(B40,'App 4 - Recyclables'!$B$6:$H$133,7,FALSE)</f>
        <v>1022</v>
      </c>
      <c r="K40" s="1">
        <f>VLOOKUP(B40,'App 5 - Organics'!$B$5:$AB$132,27,FALSE)</f>
        <v>151</v>
      </c>
      <c r="L40" s="461"/>
      <c r="M40" s="1">
        <f>VLOOKUP(B40,'App 4 - Recyclables'!$B$6:$P$133,15,FALSE)</f>
        <v>0</v>
      </c>
      <c r="N40" s="1">
        <f>VLOOKUP(B40,'App 5 - Organics'!$B$5:$P$132,15,FALSE)</f>
        <v>0</v>
      </c>
      <c r="O40" s="460"/>
      <c r="P40" s="1">
        <v>0</v>
      </c>
      <c r="Q40" s="1">
        <v>0</v>
      </c>
      <c r="R40" s="1">
        <v>0</v>
      </c>
      <c r="S40" s="460"/>
      <c r="T40" s="1">
        <f>VLOOKUP(B40,'App 4 - Recyclables'!$B$6:$T$133,19,FALSE)</f>
        <v>0</v>
      </c>
      <c r="U40" s="1">
        <f>VLOOKUP(B40,'App 5 - Organics'!$B$5:$T$132,19,FALSE)</f>
        <v>0</v>
      </c>
      <c r="V40" s="460"/>
      <c r="W40" s="1">
        <v>0</v>
      </c>
      <c r="X40" s="1">
        <v>0</v>
      </c>
      <c r="Y40" s="1">
        <v>0</v>
      </c>
      <c r="Z40" s="460"/>
      <c r="AA40" s="462">
        <f t="shared" si="2"/>
        <v>69032</v>
      </c>
      <c r="AB40" s="460"/>
      <c r="AC40" s="463">
        <f t="shared" si="5"/>
        <v>67859</v>
      </c>
      <c r="AD40" s="463">
        <f t="shared" si="5"/>
        <v>0</v>
      </c>
      <c r="AE40" s="463">
        <f t="shared" si="5"/>
        <v>67859</v>
      </c>
      <c r="AF40" s="463">
        <f t="shared" si="4"/>
        <v>1022</v>
      </c>
      <c r="AG40" s="463">
        <f t="shared" si="0"/>
        <v>151</v>
      </c>
      <c r="AH40" s="4"/>
      <c r="AI40" s="227">
        <v>0</v>
      </c>
      <c r="AJ40" s="227">
        <v>0</v>
      </c>
      <c r="AK40" s="227">
        <v>0</v>
      </c>
    </row>
    <row r="41" spans="1:37" x14ac:dyDescent="0.2">
      <c r="A41" s="8">
        <v>12390</v>
      </c>
      <c r="B41" s="8" t="s">
        <v>100</v>
      </c>
      <c r="C41" s="8" t="s">
        <v>38</v>
      </c>
      <c r="D41" s="29" t="s">
        <v>1</v>
      </c>
      <c r="E41" s="323"/>
      <c r="F41" s="1">
        <v>10269</v>
      </c>
      <c r="G41" s="1">
        <v>0</v>
      </c>
      <c r="H41" s="1">
        <f t="shared" si="1"/>
        <v>10269</v>
      </c>
      <c r="I41" s="460"/>
      <c r="J41" s="1">
        <f>VLOOKUP(B41,'App 4 - Recyclables'!$B$6:$H$133,7,FALSE)</f>
        <v>394.32</v>
      </c>
      <c r="K41" s="1">
        <f>VLOOKUP(B41,'App 5 - Organics'!$B$5:$AB$132,27,FALSE)</f>
        <v>4688.47</v>
      </c>
      <c r="L41" s="461"/>
      <c r="M41" s="1">
        <f>VLOOKUP(B41,'App 4 - Recyclables'!$B$6:$P$133,15,FALSE)</f>
        <v>0</v>
      </c>
      <c r="N41" s="1">
        <f>VLOOKUP(B41,'App 5 - Organics'!$B$5:$P$132,15,FALSE)</f>
        <v>0</v>
      </c>
      <c r="O41" s="460"/>
      <c r="P41" s="1">
        <v>449.78</v>
      </c>
      <c r="Q41" s="1">
        <v>0</v>
      </c>
      <c r="R41" s="1">
        <v>449.78</v>
      </c>
      <c r="S41" s="460"/>
      <c r="T41" s="1">
        <f>VLOOKUP(B41,'App 4 - Recyclables'!$B$6:$T$133,19,FALSE)</f>
        <v>0</v>
      </c>
      <c r="U41" s="1">
        <f>VLOOKUP(B41,'App 5 - Organics'!$B$5:$T$132,19,FALSE)</f>
        <v>0</v>
      </c>
      <c r="V41" s="460"/>
      <c r="W41" s="1">
        <v>828.76</v>
      </c>
      <c r="X41" s="1">
        <v>0</v>
      </c>
      <c r="Y41" s="1">
        <v>828.76</v>
      </c>
      <c r="Z41" s="460"/>
      <c r="AA41" s="462">
        <f t="shared" si="2"/>
        <v>16630.330000000002</v>
      </c>
      <c r="AB41" s="460"/>
      <c r="AC41" s="463">
        <f t="shared" si="5"/>
        <v>11547.54</v>
      </c>
      <c r="AD41" s="463">
        <f t="shared" si="5"/>
        <v>0</v>
      </c>
      <c r="AE41" s="463">
        <f t="shared" si="5"/>
        <v>11547.54</v>
      </c>
      <c r="AF41" s="463">
        <f t="shared" si="4"/>
        <v>394.32</v>
      </c>
      <c r="AG41" s="463">
        <f t="shared" si="0"/>
        <v>4688.47</v>
      </c>
      <c r="AH41" s="4"/>
      <c r="AI41" s="227">
        <v>116.45</v>
      </c>
      <c r="AJ41" s="227">
        <v>0</v>
      </c>
      <c r="AK41" s="227">
        <v>116.45</v>
      </c>
    </row>
    <row r="42" spans="1:37" x14ac:dyDescent="0.2">
      <c r="A42" s="8">
        <v>12700</v>
      </c>
      <c r="B42" s="8" t="s">
        <v>101</v>
      </c>
      <c r="C42" s="8" t="s">
        <v>23</v>
      </c>
      <c r="D42" s="29" t="s">
        <v>3</v>
      </c>
      <c r="E42" s="323"/>
      <c r="F42" s="1">
        <v>2459</v>
      </c>
      <c r="G42" s="1">
        <v>0</v>
      </c>
      <c r="H42" s="1">
        <f t="shared" si="1"/>
        <v>2459</v>
      </c>
      <c r="I42" s="460"/>
      <c r="J42" s="1">
        <f>VLOOKUP(B42,'App 4 - Recyclables'!$B$6:$H$133,7,FALSE)</f>
        <v>0</v>
      </c>
      <c r="K42" s="1">
        <f>VLOOKUP(B42,'App 5 - Organics'!$B$5:$AB$132,27,FALSE)</f>
        <v>0</v>
      </c>
      <c r="L42" s="461"/>
      <c r="M42" s="1">
        <f>VLOOKUP(B42,'App 4 - Recyclables'!$B$6:$P$133,15,FALSE)</f>
        <v>0</v>
      </c>
      <c r="N42" s="1">
        <f>VLOOKUP(B42,'App 5 - Organics'!$B$5:$P$132,15,FALSE)</f>
        <v>0</v>
      </c>
      <c r="O42" s="460"/>
      <c r="P42" s="1">
        <v>0.31</v>
      </c>
      <c r="Q42" s="1">
        <v>0.31</v>
      </c>
      <c r="R42" s="1">
        <v>0</v>
      </c>
      <c r="S42" s="460"/>
      <c r="T42" s="1">
        <f>VLOOKUP(B42,'App 4 - Recyclables'!$B$6:$T$133,19,FALSE)</f>
        <v>0</v>
      </c>
      <c r="U42" s="1">
        <f>VLOOKUP(B42,'App 5 - Organics'!$B$5:$T$132,19,FALSE)</f>
        <v>0</v>
      </c>
      <c r="V42" s="460"/>
      <c r="W42" s="1">
        <v>0</v>
      </c>
      <c r="X42" s="1">
        <v>0</v>
      </c>
      <c r="Y42" s="1">
        <v>0</v>
      </c>
      <c r="Z42" s="460"/>
      <c r="AA42" s="462">
        <f t="shared" si="2"/>
        <v>2459</v>
      </c>
      <c r="AB42" s="460"/>
      <c r="AC42" s="463">
        <f t="shared" si="5"/>
        <v>2459.31</v>
      </c>
      <c r="AD42" s="463">
        <f t="shared" si="5"/>
        <v>0.31</v>
      </c>
      <c r="AE42" s="463">
        <f t="shared" si="5"/>
        <v>2459</v>
      </c>
      <c r="AF42" s="463">
        <f t="shared" si="4"/>
        <v>0</v>
      </c>
      <c r="AG42" s="463">
        <f t="shared" si="0"/>
        <v>0</v>
      </c>
      <c r="AH42" s="4"/>
      <c r="AI42" s="227">
        <v>0</v>
      </c>
      <c r="AJ42" s="227">
        <v>0</v>
      </c>
      <c r="AK42" s="227">
        <v>0</v>
      </c>
    </row>
    <row r="43" spans="1:37" x14ac:dyDescent="0.2">
      <c r="A43" s="8">
        <v>12730</v>
      </c>
      <c r="B43" s="8" t="s">
        <v>102</v>
      </c>
      <c r="C43" s="8" t="s">
        <v>66</v>
      </c>
      <c r="D43" s="29" t="s">
        <v>1</v>
      </c>
      <c r="E43" s="323"/>
      <c r="F43" s="1">
        <v>2849</v>
      </c>
      <c r="G43" s="1">
        <v>0</v>
      </c>
      <c r="H43" s="1">
        <f t="shared" si="1"/>
        <v>2849</v>
      </c>
      <c r="I43" s="460"/>
      <c r="J43" s="1">
        <f>VLOOKUP(B43,'App 4 - Recyclables'!$B$6:$H$133,7,FALSE)</f>
        <v>0</v>
      </c>
      <c r="K43" s="1">
        <f>VLOOKUP(B43,'App 5 - Organics'!$B$5:$AB$132,27,FALSE)</f>
        <v>0</v>
      </c>
      <c r="L43" s="461"/>
      <c r="M43" s="1">
        <f>VLOOKUP(B43,'App 4 - Recyclables'!$B$6:$P$133,15,FALSE)</f>
        <v>14.14</v>
      </c>
      <c r="N43" s="1">
        <f>VLOOKUP(B43,'App 5 - Organics'!$B$5:$P$132,15,FALSE)</f>
        <v>774.03</v>
      </c>
      <c r="O43" s="460"/>
      <c r="P43" s="1">
        <v>946.94999999999993</v>
      </c>
      <c r="Q43" s="1">
        <v>0</v>
      </c>
      <c r="R43" s="1">
        <v>946.94999999999993</v>
      </c>
      <c r="S43" s="460"/>
      <c r="T43" s="1">
        <f>VLOOKUP(B43,'App 4 - Recyclables'!$B$6:$T$133,19,FALSE)</f>
        <v>0</v>
      </c>
      <c r="U43" s="1">
        <f>VLOOKUP(B43,'App 5 - Organics'!$B$5:$T$132,19,FALSE)</f>
        <v>0</v>
      </c>
      <c r="V43" s="460"/>
      <c r="W43" s="1">
        <v>0</v>
      </c>
      <c r="X43" s="1">
        <v>0</v>
      </c>
      <c r="Y43" s="1">
        <v>0</v>
      </c>
      <c r="Z43" s="460"/>
      <c r="AA43" s="462">
        <f t="shared" si="2"/>
        <v>4584.12</v>
      </c>
      <c r="AB43" s="460"/>
      <c r="AC43" s="463">
        <f t="shared" si="5"/>
        <v>3795.95</v>
      </c>
      <c r="AD43" s="463">
        <f t="shared" si="5"/>
        <v>0</v>
      </c>
      <c r="AE43" s="463">
        <f t="shared" si="5"/>
        <v>3795.95</v>
      </c>
      <c r="AF43" s="463">
        <f t="shared" si="4"/>
        <v>14.14</v>
      </c>
      <c r="AG43" s="463">
        <f t="shared" si="0"/>
        <v>774.03</v>
      </c>
      <c r="AH43" s="4"/>
      <c r="AI43" s="227">
        <v>34.06</v>
      </c>
      <c r="AJ43" s="227">
        <v>0</v>
      </c>
      <c r="AK43" s="227">
        <v>34.06</v>
      </c>
    </row>
    <row r="44" spans="1:37" x14ac:dyDescent="0.2">
      <c r="A44" s="8">
        <v>12750</v>
      </c>
      <c r="B44" s="8" t="s">
        <v>103</v>
      </c>
      <c r="C44" s="8" t="s">
        <v>67</v>
      </c>
      <c r="D44" s="29" t="s">
        <v>1</v>
      </c>
      <c r="E44" s="323"/>
      <c r="F44" s="1">
        <v>6933.58</v>
      </c>
      <c r="G44" s="1">
        <v>0</v>
      </c>
      <c r="H44" s="1">
        <f>F44-G44</f>
        <v>6933.58</v>
      </c>
      <c r="I44" s="460"/>
      <c r="J44" s="1">
        <f>VLOOKUP(B44,'App 4 - Recyclables'!$B$6:$H$133,7,FALSE)</f>
        <v>564.6</v>
      </c>
      <c r="K44" s="1">
        <f>VLOOKUP(B44,'App 5 - Organics'!$B$5:$AB$132,27,FALSE)</f>
        <v>6.24</v>
      </c>
      <c r="L44" s="461"/>
      <c r="M44" s="1">
        <f>VLOOKUP(B44,'App 4 - Recyclables'!$B$6:$P$133,15,FALSE)</f>
        <v>0</v>
      </c>
      <c r="N44" s="1">
        <f>VLOOKUP(B44,'App 5 - Organics'!$B$5:$P$132,15,FALSE)</f>
        <v>0</v>
      </c>
      <c r="O44" s="460"/>
      <c r="P44" s="1">
        <v>6514.29</v>
      </c>
      <c r="Q44" s="1">
        <v>89.369999999999891</v>
      </c>
      <c r="R44" s="1">
        <v>6424.92</v>
      </c>
      <c r="S44" s="460"/>
      <c r="T44" s="1">
        <f>VLOOKUP(B44,'App 4 - Recyclables'!$B$6:$T$133,19,FALSE)</f>
        <v>0</v>
      </c>
      <c r="U44" s="1">
        <f>VLOOKUP(B44,'App 5 - Organics'!$B$5:$T$132,19,FALSE)</f>
        <v>0</v>
      </c>
      <c r="V44" s="460"/>
      <c r="W44" s="1">
        <v>758.3</v>
      </c>
      <c r="X44" s="1">
        <v>51.17999999999995</v>
      </c>
      <c r="Y44" s="1">
        <v>707.12</v>
      </c>
      <c r="Z44" s="460"/>
      <c r="AA44" s="462">
        <f t="shared" si="2"/>
        <v>14636.460000000001</v>
      </c>
      <c r="AB44" s="460"/>
      <c r="AC44" s="463">
        <f t="shared" si="5"/>
        <v>14206.169999999998</v>
      </c>
      <c r="AD44" s="463">
        <f t="shared" si="5"/>
        <v>140.54999999999984</v>
      </c>
      <c r="AE44" s="463">
        <f t="shared" si="5"/>
        <v>14065.62</v>
      </c>
      <c r="AF44" s="463">
        <f t="shared" si="4"/>
        <v>564.6</v>
      </c>
      <c r="AG44" s="463">
        <f t="shared" si="0"/>
        <v>6.24</v>
      </c>
      <c r="AH44" s="4"/>
      <c r="AI44" s="227">
        <v>1510.69</v>
      </c>
      <c r="AJ44" s="227">
        <v>0</v>
      </c>
      <c r="AK44" s="227">
        <v>1510.69</v>
      </c>
    </row>
    <row r="45" spans="1:37" x14ac:dyDescent="0.2">
      <c r="A45" s="8">
        <v>12850</v>
      </c>
      <c r="B45" s="8" t="s">
        <v>104</v>
      </c>
      <c r="C45" s="8" t="s">
        <v>18</v>
      </c>
      <c r="D45" s="29" t="s">
        <v>2</v>
      </c>
      <c r="E45" s="323"/>
      <c r="F45" s="1">
        <v>67571.86</v>
      </c>
      <c r="G45" s="1">
        <v>0</v>
      </c>
      <c r="H45" s="1">
        <f t="shared" si="1"/>
        <v>67571.86</v>
      </c>
      <c r="I45" s="460"/>
      <c r="J45" s="1">
        <f>VLOOKUP(B45,'App 4 - Recyclables'!$B$6:$H$133,7,FALSE)</f>
        <v>0</v>
      </c>
      <c r="K45" s="1">
        <f>VLOOKUP(B45,'App 5 - Organics'!$B$5:$AB$132,27,FALSE)</f>
        <v>0</v>
      </c>
      <c r="L45" s="461"/>
      <c r="M45" s="1">
        <f>VLOOKUP(B45,'App 4 - Recyclables'!$B$6:$P$133,15,FALSE)</f>
        <v>0</v>
      </c>
      <c r="N45" s="1">
        <f>VLOOKUP(B45,'App 5 - Organics'!$B$5:$P$132,15,FALSE)</f>
        <v>0</v>
      </c>
      <c r="O45" s="460"/>
      <c r="P45" s="1">
        <v>86.3</v>
      </c>
      <c r="Q45" s="1">
        <v>0</v>
      </c>
      <c r="R45" s="1">
        <v>86.3</v>
      </c>
      <c r="S45" s="460"/>
      <c r="T45" s="1">
        <f>VLOOKUP(B45,'App 4 - Recyclables'!$B$6:$T$133,19,FALSE)</f>
        <v>0</v>
      </c>
      <c r="U45" s="1">
        <f>VLOOKUP(B45,'App 5 - Organics'!$B$5:$T$132,19,FALSE)</f>
        <v>0</v>
      </c>
      <c r="V45" s="460"/>
      <c r="W45" s="1">
        <v>6896.74</v>
      </c>
      <c r="X45" s="1">
        <v>0</v>
      </c>
      <c r="Y45" s="1">
        <v>6896.74</v>
      </c>
      <c r="Z45" s="460"/>
      <c r="AA45" s="462">
        <f t="shared" si="2"/>
        <v>74554.900000000009</v>
      </c>
      <c r="AB45" s="460"/>
      <c r="AC45" s="463">
        <f t="shared" si="5"/>
        <v>74554.900000000009</v>
      </c>
      <c r="AD45" s="463">
        <f t="shared" si="5"/>
        <v>0</v>
      </c>
      <c r="AE45" s="463">
        <f t="shared" si="5"/>
        <v>74554.900000000009</v>
      </c>
      <c r="AF45" s="463">
        <f t="shared" si="4"/>
        <v>0</v>
      </c>
      <c r="AG45" s="463">
        <f t="shared" si="0"/>
        <v>0</v>
      </c>
      <c r="AH45" s="4"/>
      <c r="AI45" s="227">
        <v>687.32</v>
      </c>
      <c r="AJ45" s="227">
        <v>0</v>
      </c>
      <c r="AK45" s="227">
        <v>687.32</v>
      </c>
    </row>
    <row r="46" spans="1:37" x14ac:dyDescent="0.2">
      <c r="A46" s="8">
        <v>12870</v>
      </c>
      <c r="B46" s="8" t="s">
        <v>105</v>
      </c>
      <c r="C46" s="8" t="s">
        <v>66</v>
      </c>
      <c r="D46" s="29" t="s">
        <v>1</v>
      </c>
      <c r="E46" s="323"/>
      <c r="F46" s="1">
        <v>1917</v>
      </c>
      <c r="G46" s="1">
        <v>0</v>
      </c>
      <c r="H46" s="1">
        <f t="shared" si="1"/>
        <v>1917</v>
      </c>
      <c r="I46" s="460"/>
      <c r="J46" s="1">
        <f>VLOOKUP(B46,'App 4 - Recyclables'!$B$6:$H$133,7,FALSE)</f>
        <v>0</v>
      </c>
      <c r="K46" s="1">
        <f>VLOOKUP(B46,'App 5 - Organics'!$B$5:$AB$132,27,FALSE)</f>
        <v>0</v>
      </c>
      <c r="L46" s="461"/>
      <c r="M46" s="1">
        <f>VLOOKUP(B46,'App 4 - Recyclables'!$B$6:$P$133,15,FALSE)</f>
        <v>0</v>
      </c>
      <c r="N46" s="1">
        <f>VLOOKUP(B46,'App 5 - Organics'!$B$5:$P$132,15,FALSE)</f>
        <v>0</v>
      </c>
      <c r="O46" s="460"/>
      <c r="P46" s="1">
        <v>0</v>
      </c>
      <c r="Q46" s="1">
        <v>0</v>
      </c>
      <c r="R46" s="1">
        <v>0</v>
      </c>
      <c r="S46" s="460"/>
      <c r="T46" s="1">
        <f>VLOOKUP(B46,'App 4 - Recyclables'!$B$6:$T$133,19,FALSE)</f>
        <v>0</v>
      </c>
      <c r="U46" s="1">
        <f>VLOOKUP(B46,'App 5 - Organics'!$B$5:$T$132,19,FALSE)</f>
        <v>0</v>
      </c>
      <c r="V46" s="460"/>
      <c r="W46" s="1">
        <v>0</v>
      </c>
      <c r="X46" s="1">
        <v>0</v>
      </c>
      <c r="Y46" s="1">
        <v>0</v>
      </c>
      <c r="Z46" s="460"/>
      <c r="AA46" s="462">
        <f t="shared" si="2"/>
        <v>1917</v>
      </c>
      <c r="AB46" s="460"/>
      <c r="AC46" s="463">
        <f t="shared" si="5"/>
        <v>1917</v>
      </c>
      <c r="AD46" s="463">
        <f t="shared" si="5"/>
        <v>0</v>
      </c>
      <c r="AE46" s="463">
        <f t="shared" si="5"/>
        <v>1917</v>
      </c>
      <c r="AF46" s="463">
        <f t="shared" si="4"/>
        <v>0</v>
      </c>
      <c r="AG46" s="463">
        <f t="shared" si="0"/>
        <v>0</v>
      </c>
      <c r="AH46" s="4"/>
      <c r="AI46" s="227">
        <v>0</v>
      </c>
      <c r="AJ46" s="227">
        <v>0</v>
      </c>
      <c r="AK46" s="227">
        <v>0</v>
      </c>
    </row>
    <row r="47" spans="1:37" x14ac:dyDescent="0.2">
      <c r="A47" s="8">
        <v>12900</v>
      </c>
      <c r="B47" s="8" t="s">
        <v>106</v>
      </c>
      <c r="C47" s="8" t="s">
        <v>38</v>
      </c>
      <c r="D47" s="29" t="s">
        <v>1</v>
      </c>
      <c r="E47" s="323"/>
      <c r="F47" s="1">
        <v>1669</v>
      </c>
      <c r="G47" s="1">
        <v>0</v>
      </c>
      <c r="H47" s="1">
        <f t="shared" si="1"/>
        <v>1669</v>
      </c>
      <c r="I47" s="460"/>
      <c r="J47" s="1">
        <f>VLOOKUP(B47,'App 4 - Recyclables'!$B$6:$H$133,7,FALSE)</f>
        <v>7.73</v>
      </c>
      <c r="K47" s="1">
        <f>VLOOKUP(B47,'App 5 - Organics'!$B$5:$AB$132,27,FALSE)</f>
        <v>0</v>
      </c>
      <c r="L47" s="461"/>
      <c r="M47" s="1">
        <f>VLOOKUP(B47,'App 4 - Recyclables'!$B$6:$P$133,15,FALSE)</f>
        <v>0</v>
      </c>
      <c r="N47" s="1">
        <f>VLOOKUP(B47,'App 5 - Organics'!$B$5:$P$132,15,FALSE)</f>
        <v>300</v>
      </c>
      <c r="O47" s="460"/>
      <c r="P47" s="1">
        <v>8335</v>
      </c>
      <c r="Q47" s="1">
        <v>0</v>
      </c>
      <c r="R47" s="1">
        <v>8335</v>
      </c>
      <c r="S47" s="460"/>
      <c r="T47" s="1">
        <f>VLOOKUP(B47,'App 4 - Recyclables'!$B$6:$T$133,19,FALSE)</f>
        <v>0</v>
      </c>
      <c r="U47" s="1">
        <f>VLOOKUP(B47,'App 5 - Organics'!$B$5:$T$132,19,FALSE)</f>
        <v>0</v>
      </c>
      <c r="V47" s="460"/>
      <c r="W47" s="1">
        <v>22</v>
      </c>
      <c r="X47" s="1">
        <v>0</v>
      </c>
      <c r="Y47" s="1">
        <v>22</v>
      </c>
      <c r="Z47" s="460"/>
      <c r="AA47" s="462">
        <f t="shared" si="2"/>
        <v>10333.73</v>
      </c>
      <c r="AB47" s="460"/>
      <c r="AC47" s="463">
        <f t="shared" si="5"/>
        <v>10026</v>
      </c>
      <c r="AD47" s="463">
        <f t="shared" si="5"/>
        <v>0</v>
      </c>
      <c r="AE47" s="463">
        <f t="shared" si="5"/>
        <v>10026</v>
      </c>
      <c r="AF47" s="463">
        <f t="shared" si="4"/>
        <v>7.73</v>
      </c>
      <c r="AG47" s="463">
        <f t="shared" si="0"/>
        <v>300</v>
      </c>
      <c r="AH47" s="4"/>
      <c r="AI47" s="227">
        <v>0</v>
      </c>
      <c r="AJ47" s="227">
        <v>0</v>
      </c>
      <c r="AK47" s="227">
        <v>0</v>
      </c>
    </row>
    <row r="48" spans="1:37" x14ac:dyDescent="0.2">
      <c r="A48" s="8">
        <v>12930</v>
      </c>
      <c r="B48" s="8" t="s">
        <v>48</v>
      </c>
      <c r="C48" s="8" t="s">
        <v>17</v>
      </c>
      <c r="D48" s="29" t="s">
        <v>2</v>
      </c>
      <c r="E48" s="323"/>
      <c r="F48" s="1">
        <v>31093</v>
      </c>
      <c r="G48" s="1">
        <v>7329</v>
      </c>
      <c r="H48" s="1">
        <f t="shared" si="1"/>
        <v>23764</v>
      </c>
      <c r="I48" s="460"/>
      <c r="J48" s="1">
        <f>VLOOKUP(B48,'App 4 - Recyclables'!$B$6:$H$133,7,FALSE)</f>
        <v>0</v>
      </c>
      <c r="K48" s="1">
        <f>VLOOKUP(B48,'App 5 - Organics'!$B$5:$AB$132,27,FALSE)</f>
        <v>0</v>
      </c>
      <c r="L48" s="461"/>
      <c r="M48" s="1">
        <f>VLOOKUP(B48,'App 4 - Recyclables'!$B$6:$P$133,15,FALSE)</f>
        <v>0</v>
      </c>
      <c r="N48" s="1">
        <f>VLOOKUP(B48,'App 5 - Organics'!$B$5:$P$132,15,FALSE)</f>
        <v>0</v>
      </c>
      <c r="O48" s="460"/>
      <c r="P48" s="1">
        <v>0</v>
      </c>
      <c r="Q48" s="1">
        <v>0</v>
      </c>
      <c r="R48" s="1">
        <v>0</v>
      </c>
      <c r="S48" s="460"/>
      <c r="T48" s="1">
        <f>VLOOKUP(B48,'App 4 - Recyclables'!$B$6:$T$133,19,FALSE)</f>
        <v>65</v>
      </c>
      <c r="U48" s="1">
        <f>VLOOKUP(B48,'App 5 - Organics'!$B$5:$T$132,19,FALSE)</f>
        <v>0</v>
      </c>
      <c r="V48" s="460"/>
      <c r="W48" s="1">
        <v>5031</v>
      </c>
      <c r="X48" s="1">
        <v>3656</v>
      </c>
      <c r="Y48" s="1">
        <v>1375</v>
      </c>
      <c r="Z48" s="460"/>
      <c r="AA48" s="462">
        <f t="shared" si="2"/>
        <v>25204</v>
      </c>
      <c r="AB48" s="460"/>
      <c r="AC48" s="463">
        <f t="shared" si="5"/>
        <v>36124</v>
      </c>
      <c r="AD48" s="463">
        <f t="shared" si="5"/>
        <v>10985</v>
      </c>
      <c r="AE48" s="463">
        <f t="shared" si="5"/>
        <v>25139</v>
      </c>
      <c r="AF48" s="463">
        <f t="shared" si="4"/>
        <v>65</v>
      </c>
      <c r="AG48" s="463">
        <f t="shared" si="0"/>
        <v>0</v>
      </c>
      <c r="AH48" s="4"/>
      <c r="AI48" s="227">
        <v>0</v>
      </c>
      <c r="AJ48" s="227">
        <v>0</v>
      </c>
      <c r="AK48" s="227">
        <v>0</v>
      </c>
    </row>
    <row r="49" spans="1:37" x14ac:dyDescent="0.2">
      <c r="A49" s="8">
        <v>12950</v>
      </c>
      <c r="B49" s="8" t="s">
        <v>107</v>
      </c>
      <c r="C49" s="8" t="s">
        <v>38</v>
      </c>
      <c r="D49" s="29" t="s">
        <v>1</v>
      </c>
      <c r="E49" s="323"/>
      <c r="F49" s="1">
        <v>1067.9000000000001</v>
      </c>
      <c r="G49" s="1">
        <v>0</v>
      </c>
      <c r="H49" s="1">
        <f t="shared" si="1"/>
        <v>1067.9000000000001</v>
      </c>
      <c r="I49" s="460"/>
      <c r="J49" s="1">
        <f>VLOOKUP(B49,'App 4 - Recyclables'!$B$6:$H$133,7,FALSE)</f>
        <v>0.8</v>
      </c>
      <c r="K49" s="1">
        <f>VLOOKUP(B49,'App 5 - Organics'!$B$5:$AB$132,27,FALSE)</f>
        <v>0</v>
      </c>
      <c r="L49" s="461"/>
      <c r="M49" s="1">
        <f>VLOOKUP(B49,'App 4 - Recyclables'!$B$6:$P$133,15,FALSE)</f>
        <v>0</v>
      </c>
      <c r="N49" s="1">
        <f>VLOOKUP(B49,'App 5 - Organics'!$B$5:$P$132,15,FALSE)</f>
        <v>0</v>
      </c>
      <c r="O49" s="460"/>
      <c r="P49" s="1">
        <v>41</v>
      </c>
      <c r="Q49" s="1">
        <v>0</v>
      </c>
      <c r="R49" s="1">
        <v>41</v>
      </c>
      <c r="S49" s="460"/>
      <c r="T49" s="1">
        <f>VLOOKUP(B49,'App 4 - Recyclables'!$B$6:$T$133,19,FALSE)</f>
        <v>0</v>
      </c>
      <c r="U49" s="1">
        <f>VLOOKUP(B49,'App 5 - Organics'!$B$5:$T$132,19,FALSE)</f>
        <v>0</v>
      </c>
      <c r="V49" s="460"/>
      <c r="W49" s="1">
        <v>0</v>
      </c>
      <c r="X49" s="1">
        <v>0</v>
      </c>
      <c r="Y49" s="1">
        <v>0</v>
      </c>
      <c r="Z49" s="460"/>
      <c r="AA49" s="462">
        <f t="shared" si="2"/>
        <v>1109.7</v>
      </c>
      <c r="AB49" s="460"/>
      <c r="AC49" s="463">
        <f t="shared" si="5"/>
        <v>1108.9000000000001</v>
      </c>
      <c r="AD49" s="463">
        <f t="shared" si="5"/>
        <v>0</v>
      </c>
      <c r="AE49" s="463">
        <f t="shared" si="5"/>
        <v>1108.9000000000001</v>
      </c>
      <c r="AF49" s="463">
        <f t="shared" si="4"/>
        <v>0.8</v>
      </c>
      <c r="AG49" s="463">
        <f t="shared" si="0"/>
        <v>0</v>
      </c>
      <c r="AH49" s="4"/>
      <c r="AI49" s="227">
        <v>0</v>
      </c>
      <c r="AJ49" s="227">
        <v>0</v>
      </c>
      <c r="AK49" s="227">
        <v>0</v>
      </c>
    </row>
    <row r="50" spans="1:37" x14ac:dyDescent="0.2">
      <c r="A50" s="8">
        <v>13010</v>
      </c>
      <c r="B50" s="8" t="s">
        <v>108</v>
      </c>
      <c r="C50" s="8" t="s">
        <v>16</v>
      </c>
      <c r="D50" s="29" t="s">
        <v>1</v>
      </c>
      <c r="E50" s="323"/>
      <c r="F50" s="1">
        <v>1674.25</v>
      </c>
      <c r="G50" s="1">
        <v>0</v>
      </c>
      <c r="H50" s="1">
        <f>F50-G50</f>
        <v>1674.25</v>
      </c>
      <c r="I50" s="460"/>
      <c r="J50" s="1">
        <f>VLOOKUP(B50,'App 4 - Recyclables'!$B$6:$H$133,7,FALSE)</f>
        <v>0</v>
      </c>
      <c r="K50" s="1">
        <f>VLOOKUP(B50,'App 5 - Organics'!$B$5:$AB$132,27,FALSE)</f>
        <v>0</v>
      </c>
      <c r="L50" s="461"/>
      <c r="M50" s="1">
        <f>VLOOKUP(B50,'App 4 - Recyclables'!$B$6:$P$133,15,FALSE)</f>
        <v>9.3000000000000007</v>
      </c>
      <c r="N50" s="1">
        <f>VLOOKUP(B50,'App 5 - Organics'!$B$5:$P$132,15,FALSE)</f>
        <v>0</v>
      </c>
      <c r="O50" s="460"/>
      <c r="P50" s="1">
        <v>2439.52</v>
      </c>
      <c r="Q50" s="1">
        <v>1190.72</v>
      </c>
      <c r="R50" s="1">
        <v>1248.8</v>
      </c>
      <c r="S50" s="460"/>
      <c r="T50" s="1">
        <f>VLOOKUP(B50,'App 4 - Recyclables'!$B$6:$T$133,19,FALSE)</f>
        <v>0</v>
      </c>
      <c r="U50" s="1">
        <f>VLOOKUP(B50,'App 5 - Organics'!$B$5:$T$132,19,FALSE)</f>
        <v>0</v>
      </c>
      <c r="V50" s="460"/>
      <c r="W50" s="1">
        <v>0</v>
      </c>
      <c r="X50" s="1">
        <v>0</v>
      </c>
      <c r="Y50" s="1">
        <v>0</v>
      </c>
      <c r="Z50" s="460"/>
      <c r="AA50" s="462">
        <f t="shared" si="2"/>
        <v>2932.35</v>
      </c>
      <c r="AB50" s="460"/>
      <c r="AC50" s="463">
        <f t="shared" si="5"/>
        <v>4113.7700000000004</v>
      </c>
      <c r="AD50" s="463">
        <f t="shared" si="5"/>
        <v>1190.72</v>
      </c>
      <c r="AE50" s="463">
        <f t="shared" si="5"/>
        <v>2923.05</v>
      </c>
      <c r="AF50" s="463">
        <f t="shared" si="4"/>
        <v>9.3000000000000007</v>
      </c>
      <c r="AG50" s="463">
        <f t="shared" si="0"/>
        <v>0</v>
      </c>
      <c r="AH50" s="4"/>
      <c r="AI50" s="227">
        <v>0</v>
      </c>
      <c r="AJ50" s="227">
        <v>0</v>
      </c>
      <c r="AK50" s="227">
        <v>0</v>
      </c>
    </row>
    <row r="51" spans="1:37" x14ac:dyDescent="0.2">
      <c r="A51" s="8">
        <v>13310</v>
      </c>
      <c r="B51" s="8" t="s">
        <v>109</v>
      </c>
      <c r="C51" s="8" t="s">
        <v>67</v>
      </c>
      <c r="D51" s="29" t="s">
        <v>1</v>
      </c>
      <c r="E51" s="323"/>
      <c r="F51" s="1">
        <v>5646</v>
      </c>
      <c r="G51" s="1">
        <v>0</v>
      </c>
      <c r="H51" s="1">
        <f t="shared" si="1"/>
        <v>5646</v>
      </c>
      <c r="I51" s="460"/>
      <c r="J51" s="1">
        <f>VLOOKUP(B51,'App 4 - Recyclables'!$B$6:$H$133,7,FALSE)</f>
        <v>0</v>
      </c>
      <c r="K51" s="1">
        <f>VLOOKUP(B51,'App 5 - Organics'!$B$5:$AB$132,27,FALSE)</f>
        <v>58.94</v>
      </c>
      <c r="L51" s="461"/>
      <c r="M51" s="1">
        <f>VLOOKUP(B51,'App 4 - Recyclables'!$B$6:$P$133,15,FALSE)</f>
        <v>79</v>
      </c>
      <c r="N51" s="1">
        <f>VLOOKUP(B51,'App 5 - Organics'!$B$5:$P$132,15,FALSE)</f>
        <v>0</v>
      </c>
      <c r="O51" s="460"/>
      <c r="P51" s="1">
        <v>10036</v>
      </c>
      <c r="Q51" s="1">
        <v>2408</v>
      </c>
      <c r="R51" s="1">
        <v>7628</v>
      </c>
      <c r="S51" s="460"/>
      <c r="T51" s="1">
        <f>VLOOKUP(B51,'App 4 - Recyclables'!$B$6:$T$133,19,FALSE)</f>
        <v>0</v>
      </c>
      <c r="U51" s="1">
        <f>VLOOKUP(B51,'App 5 - Organics'!$B$5:$T$132,19,FALSE)</f>
        <v>0</v>
      </c>
      <c r="V51" s="460"/>
      <c r="W51" s="1">
        <v>201.15</v>
      </c>
      <c r="X51" s="1">
        <v>0</v>
      </c>
      <c r="Y51" s="1">
        <v>201.15</v>
      </c>
      <c r="Z51" s="460"/>
      <c r="AA51" s="462">
        <f t="shared" si="2"/>
        <v>13613.089999999998</v>
      </c>
      <c r="AB51" s="460"/>
      <c r="AC51" s="463">
        <f t="shared" si="5"/>
        <v>15883.15</v>
      </c>
      <c r="AD51" s="463">
        <f t="shared" si="5"/>
        <v>2408</v>
      </c>
      <c r="AE51" s="463">
        <f t="shared" si="5"/>
        <v>13475.15</v>
      </c>
      <c r="AF51" s="463">
        <f t="shared" si="4"/>
        <v>79</v>
      </c>
      <c r="AG51" s="463">
        <f t="shared" si="0"/>
        <v>58.94</v>
      </c>
      <c r="AH51" s="4"/>
      <c r="AI51" s="227">
        <v>637.9</v>
      </c>
      <c r="AJ51" s="227">
        <v>0</v>
      </c>
      <c r="AK51" s="227">
        <v>637.9</v>
      </c>
    </row>
    <row r="52" spans="1:37" x14ac:dyDescent="0.2">
      <c r="A52" s="8">
        <v>13340</v>
      </c>
      <c r="B52" s="8" t="s">
        <v>110</v>
      </c>
      <c r="C52" s="8" t="s">
        <v>21</v>
      </c>
      <c r="D52" s="29" t="s">
        <v>1</v>
      </c>
      <c r="E52" s="323"/>
      <c r="F52" s="1">
        <v>2500</v>
      </c>
      <c r="G52" s="1">
        <v>0</v>
      </c>
      <c r="H52" s="1">
        <f t="shared" si="1"/>
        <v>2500</v>
      </c>
      <c r="I52" s="460"/>
      <c r="J52" s="1">
        <f>VLOOKUP(B52,'App 4 - Recyclables'!$B$6:$H$133,7,FALSE)</f>
        <v>38.83</v>
      </c>
      <c r="K52" s="1">
        <f>VLOOKUP(B52,'App 5 - Organics'!$B$5:$AB$132,27,FALSE)</f>
        <v>0</v>
      </c>
      <c r="L52" s="461"/>
      <c r="M52" s="1">
        <f>VLOOKUP(B52,'App 4 - Recyclables'!$B$6:$P$133,15,FALSE)</f>
        <v>0</v>
      </c>
      <c r="N52" s="1">
        <f>VLOOKUP(B52,'App 5 - Organics'!$B$5:$P$132,15,FALSE)</f>
        <v>0</v>
      </c>
      <c r="O52" s="460"/>
      <c r="P52" s="1">
        <v>10.5</v>
      </c>
      <c r="Q52" s="1">
        <v>10.5</v>
      </c>
      <c r="R52" s="1">
        <v>0</v>
      </c>
      <c r="S52" s="460"/>
      <c r="T52" s="1">
        <f>VLOOKUP(B52,'App 4 - Recyclables'!$B$6:$T$133,19,FALSE)</f>
        <v>0</v>
      </c>
      <c r="U52" s="1">
        <f>VLOOKUP(B52,'App 5 - Organics'!$B$5:$T$132,19,FALSE)</f>
        <v>0</v>
      </c>
      <c r="V52" s="460"/>
      <c r="W52" s="1">
        <v>0</v>
      </c>
      <c r="X52" s="1">
        <v>0</v>
      </c>
      <c r="Y52" s="1">
        <v>0</v>
      </c>
      <c r="Z52" s="460"/>
      <c r="AA52" s="462">
        <f t="shared" si="2"/>
        <v>2538.83</v>
      </c>
      <c r="AB52" s="460"/>
      <c r="AC52" s="463">
        <f t="shared" si="5"/>
        <v>2510.5</v>
      </c>
      <c r="AD52" s="463">
        <f t="shared" si="5"/>
        <v>10.5</v>
      </c>
      <c r="AE52" s="463">
        <f t="shared" si="5"/>
        <v>2500</v>
      </c>
      <c r="AF52" s="463">
        <f t="shared" si="4"/>
        <v>38.83</v>
      </c>
      <c r="AG52" s="463">
        <f t="shared" si="0"/>
        <v>0</v>
      </c>
      <c r="AH52" s="4"/>
      <c r="AI52" s="227">
        <v>0</v>
      </c>
      <c r="AJ52" s="227">
        <v>0</v>
      </c>
      <c r="AK52" s="227">
        <v>0</v>
      </c>
    </row>
    <row r="53" spans="1:37" x14ac:dyDescent="0.2">
      <c r="A53" s="8">
        <v>13450</v>
      </c>
      <c r="B53" s="8" t="s">
        <v>111</v>
      </c>
      <c r="C53" s="8" t="s">
        <v>68</v>
      </c>
      <c r="D53" s="29" t="s">
        <v>1</v>
      </c>
      <c r="E53" s="323"/>
      <c r="F53" s="1">
        <v>9416</v>
      </c>
      <c r="G53" s="1">
        <v>0</v>
      </c>
      <c r="H53" s="1">
        <f t="shared" si="1"/>
        <v>9416</v>
      </c>
      <c r="I53" s="460"/>
      <c r="J53" s="1">
        <f>VLOOKUP(B53,'App 4 - Recyclables'!$B$6:$H$133,7,FALSE)</f>
        <v>0</v>
      </c>
      <c r="K53" s="1">
        <f>VLOOKUP(B53,'App 5 - Organics'!$B$5:$AB$132,27,FALSE)</f>
        <v>0</v>
      </c>
      <c r="L53" s="461"/>
      <c r="M53" s="1">
        <f>VLOOKUP(B53,'App 4 - Recyclables'!$B$6:$P$133,15,FALSE)</f>
        <v>0</v>
      </c>
      <c r="N53" s="1">
        <f>VLOOKUP(B53,'App 5 - Organics'!$B$5:$P$132,15,FALSE)</f>
        <v>0</v>
      </c>
      <c r="O53" s="460"/>
      <c r="P53" s="1">
        <v>0</v>
      </c>
      <c r="Q53" s="1">
        <v>0</v>
      </c>
      <c r="R53" s="1">
        <v>0</v>
      </c>
      <c r="S53" s="460"/>
      <c r="T53" s="1">
        <f>VLOOKUP(B53,'App 4 - Recyclables'!$B$6:$T$133,19,FALSE)</f>
        <v>0</v>
      </c>
      <c r="U53" s="1">
        <f>VLOOKUP(B53,'App 5 - Organics'!$B$5:$T$132,19,FALSE)</f>
        <v>0</v>
      </c>
      <c r="V53" s="460"/>
      <c r="W53" s="1">
        <v>0</v>
      </c>
      <c r="X53" s="1">
        <v>0</v>
      </c>
      <c r="Y53" s="1">
        <v>0</v>
      </c>
      <c r="Z53" s="460"/>
      <c r="AA53" s="462">
        <f t="shared" si="2"/>
        <v>9416</v>
      </c>
      <c r="AB53" s="460"/>
      <c r="AC53" s="463">
        <f t="shared" si="5"/>
        <v>9416</v>
      </c>
      <c r="AD53" s="463">
        <f t="shared" si="5"/>
        <v>0</v>
      </c>
      <c r="AE53" s="463">
        <f t="shared" si="5"/>
        <v>9416</v>
      </c>
      <c r="AF53" s="463">
        <f t="shared" si="4"/>
        <v>0</v>
      </c>
      <c r="AG53" s="463">
        <f t="shared" si="0"/>
        <v>0</v>
      </c>
      <c r="AH53" s="4"/>
      <c r="AI53" s="227">
        <v>0</v>
      </c>
      <c r="AJ53" s="227">
        <v>0</v>
      </c>
      <c r="AK53" s="227">
        <v>0</v>
      </c>
    </row>
    <row r="54" spans="1:37" x14ac:dyDescent="0.2">
      <c r="A54" s="8">
        <v>13550</v>
      </c>
      <c r="B54" s="8" t="s">
        <v>70</v>
      </c>
      <c r="C54" s="8" t="s">
        <v>16</v>
      </c>
      <c r="D54" s="29" t="s">
        <v>1</v>
      </c>
      <c r="E54" s="323"/>
      <c r="F54" s="1">
        <v>2488.73</v>
      </c>
      <c r="G54" s="1">
        <v>0</v>
      </c>
      <c r="H54" s="1">
        <f t="shared" si="1"/>
        <v>2488.73</v>
      </c>
      <c r="I54" s="460"/>
      <c r="J54" s="1">
        <f>VLOOKUP(B54,'App 4 - Recyclables'!$B$6:$H$133,7,FALSE)</f>
        <v>286.7</v>
      </c>
      <c r="K54" s="1">
        <f>VLOOKUP(B54,'App 5 - Organics'!$B$5:$AB$132,27,FALSE)</f>
        <v>28.94</v>
      </c>
      <c r="L54" s="461"/>
      <c r="M54" s="1">
        <f>VLOOKUP(B54,'App 4 - Recyclables'!$B$6:$P$133,15,FALSE)</f>
        <v>19.09</v>
      </c>
      <c r="N54" s="1">
        <f>VLOOKUP(B54,'App 5 - Organics'!$B$5:$P$132,15,FALSE)</f>
        <v>10</v>
      </c>
      <c r="O54" s="460"/>
      <c r="P54" s="1">
        <v>1825.1100000000001</v>
      </c>
      <c r="Q54" s="1">
        <v>36.970000000000027</v>
      </c>
      <c r="R54" s="1">
        <v>1788.14</v>
      </c>
      <c r="S54" s="460"/>
      <c r="T54" s="1">
        <f>VLOOKUP(B54,'App 4 - Recyclables'!$B$6:$T$133,19,FALSE)</f>
        <v>0</v>
      </c>
      <c r="U54" s="1">
        <f>VLOOKUP(B54,'App 5 - Organics'!$B$5:$T$132,19,FALSE)</f>
        <v>0</v>
      </c>
      <c r="V54" s="460"/>
      <c r="W54" s="1">
        <v>0</v>
      </c>
      <c r="X54" s="1">
        <v>0</v>
      </c>
      <c r="Y54" s="1">
        <v>0</v>
      </c>
      <c r="Z54" s="460"/>
      <c r="AA54" s="462">
        <f t="shared" si="2"/>
        <v>4621.6000000000004</v>
      </c>
      <c r="AB54" s="460"/>
      <c r="AC54" s="463">
        <f t="shared" si="5"/>
        <v>4313.84</v>
      </c>
      <c r="AD54" s="463">
        <f t="shared" si="5"/>
        <v>36.970000000000027</v>
      </c>
      <c r="AE54" s="463">
        <f t="shared" si="5"/>
        <v>4276.87</v>
      </c>
      <c r="AF54" s="463">
        <f t="shared" si="4"/>
        <v>305.78999999999996</v>
      </c>
      <c r="AG54" s="463">
        <f t="shared" si="0"/>
        <v>38.94</v>
      </c>
      <c r="AH54" s="4"/>
      <c r="AI54" s="227">
        <v>989.53</v>
      </c>
      <c r="AJ54" s="227">
        <v>0</v>
      </c>
      <c r="AK54" s="227">
        <v>989.53</v>
      </c>
    </row>
    <row r="55" spans="1:37" x14ac:dyDescent="0.2">
      <c r="A55" s="8">
        <v>13660</v>
      </c>
      <c r="B55" s="8" t="s">
        <v>112</v>
      </c>
      <c r="C55" s="8" t="s">
        <v>16</v>
      </c>
      <c r="D55" s="29" t="s">
        <v>1</v>
      </c>
      <c r="E55" s="323"/>
      <c r="F55" s="1">
        <v>468</v>
      </c>
      <c r="G55" s="1">
        <v>0</v>
      </c>
      <c r="H55" s="1">
        <f t="shared" si="1"/>
        <v>468</v>
      </c>
      <c r="I55" s="460"/>
      <c r="J55" s="1">
        <f>VLOOKUP(B55,'App 4 - Recyclables'!$B$6:$H$133,7,FALSE)</f>
        <v>25</v>
      </c>
      <c r="K55" s="1">
        <f>VLOOKUP(B55,'App 5 - Organics'!$B$5:$AB$132,27,FALSE)</f>
        <v>10</v>
      </c>
      <c r="L55" s="461"/>
      <c r="M55" s="1">
        <f>VLOOKUP(B55,'App 4 - Recyclables'!$B$6:$P$133,15,FALSE)</f>
        <v>6.26</v>
      </c>
      <c r="N55" s="1">
        <f>VLOOKUP(B55,'App 5 - Organics'!$B$5:$P$132,15,FALSE)</f>
        <v>2</v>
      </c>
      <c r="O55" s="460"/>
      <c r="P55" s="1">
        <v>713.44999999999993</v>
      </c>
      <c r="Q55" s="1">
        <v>3.92999999999995</v>
      </c>
      <c r="R55" s="1">
        <v>709.52</v>
      </c>
      <c r="S55" s="460"/>
      <c r="T55" s="1">
        <f>VLOOKUP(B55,'App 4 - Recyclables'!$B$6:$T$133,19,FALSE)</f>
        <v>0</v>
      </c>
      <c r="U55" s="1">
        <f>VLOOKUP(B55,'App 5 - Organics'!$B$5:$T$132,19,FALSE)</f>
        <v>0</v>
      </c>
      <c r="V55" s="460"/>
      <c r="W55" s="1">
        <v>0</v>
      </c>
      <c r="X55" s="1">
        <v>0</v>
      </c>
      <c r="Y55" s="1">
        <v>0</v>
      </c>
      <c r="Z55" s="460"/>
      <c r="AA55" s="462">
        <f t="shared" si="2"/>
        <v>1220.78</v>
      </c>
      <c r="AB55" s="460"/>
      <c r="AC55" s="463">
        <f t="shared" si="5"/>
        <v>1181.4499999999998</v>
      </c>
      <c r="AD55" s="463">
        <f t="shared" si="5"/>
        <v>3.92999999999995</v>
      </c>
      <c r="AE55" s="463">
        <f t="shared" si="5"/>
        <v>1177.52</v>
      </c>
      <c r="AF55" s="463">
        <f t="shared" si="4"/>
        <v>31.259999999999998</v>
      </c>
      <c r="AG55" s="463">
        <f t="shared" si="0"/>
        <v>12</v>
      </c>
      <c r="AH55" s="4"/>
      <c r="AI55" s="227">
        <v>8</v>
      </c>
      <c r="AJ55" s="227">
        <v>0</v>
      </c>
      <c r="AK55" s="227">
        <v>8</v>
      </c>
    </row>
    <row r="56" spans="1:37" x14ac:dyDescent="0.2">
      <c r="A56" s="8">
        <v>13800</v>
      </c>
      <c r="B56" s="8" t="s">
        <v>113</v>
      </c>
      <c r="C56" s="8" t="s">
        <v>18</v>
      </c>
      <c r="D56" s="29" t="s">
        <v>2</v>
      </c>
      <c r="E56" s="323"/>
      <c r="F56" s="1">
        <v>19434</v>
      </c>
      <c r="G56" s="1">
        <v>0</v>
      </c>
      <c r="H56" s="1">
        <f t="shared" si="1"/>
        <v>19434</v>
      </c>
      <c r="I56" s="460"/>
      <c r="J56" s="1">
        <f>VLOOKUP(B56,'App 4 - Recyclables'!$B$6:$H$133,7,FALSE)</f>
        <v>0</v>
      </c>
      <c r="K56" s="1">
        <f>VLOOKUP(B56,'App 5 - Organics'!$B$5:$AB$132,27,FALSE)</f>
        <v>0</v>
      </c>
      <c r="L56" s="461"/>
      <c r="M56" s="1">
        <f>VLOOKUP(B56,'App 4 - Recyclables'!$B$6:$P$133,15,FALSE)</f>
        <v>0</v>
      </c>
      <c r="N56" s="1">
        <f>VLOOKUP(B56,'App 5 - Organics'!$B$5:$P$132,15,FALSE)</f>
        <v>0</v>
      </c>
      <c r="O56" s="460"/>
      <c r="P56" s="1">
        <v>884</v>
      </c>
      <c r="Q56" s="1">
        <v>40</v>
      </c>
      <c r="R56" s="1">
        <v>844</v>
      </c>
      <c r="S56" s="460"/>
      <c r="T56" s="1">
        <f>VLOOKUP(B56,'App 4 - Recyclables'!$B$6:$T$133,19,FALSE)</f>
        <v>0</v>
      </c>
      <c r="U56" s="1">
        <f>VLOOKUP(B56,'App 5 - Organics'!$B$5:$T$132,19,FALSE)</f>
        <v>0</v>
      </c>
      <c r="V56" s="460"/>
      <c r="W56" s="1">
        <v>1696</v>
      </c>
      <c r="X56" s="1">
        <v>848</v>
      </c>
      <c r="Y56" s="1">
        <v>848</v>
      </c>
      <c r="Z56" s="460"/>
      <c r="AA56" s="462">
        <f t="shared" si="2"/>
        <v>21126</v>
      </c>
      <c r="AB56" s="460"/>
      <c r="AC56" s="463">
        <f t="shared" si="5"/>
        <v>22014</v>
      </c>
      <c r="AD56" s="463">
        <f t="shared" si="5"/>
        <v>888</v>
      </c>
      <c r="AE56" s="463">
        <f t="shared" si="5"/>
        <v>21126</v>
      </c>
      <c r="AF56" s="463">
        <f t="shared" si="4"/>
        <v>0</v>
      </c>
      <c r="AG56" s="463">
        <f t="shared" si="0"/>
        <v>0</v>
      </c>
      <c r="AH56" s="4"/>
      <c r="AI56" s="227">
        <v>955</v>
      </c>
      <c r="AJ56" s="227">
        <v>0</v>
      </c>
      <c r="AK56" s="227">
        <v>955</v>
      </c>
    </row>
    <row r="57" spans="1:37" x14ac:dyDescent="0.2">
      <c r="A57" s="8">
        <v>13850</v>
      </c>
      <c r="B57" s="8" t="s">
        <v>114</v>
      </c>
      <c r="C57" s="8" t="s">
        <v>68</v>
      </c>
      <c r="D57" s="29" t="s">
        <v>1</v>
      </c>
      <c r="E57" s="323"/>
      <c r="F57" s="1">
        <v>1150</v>
      </c>
      <c r="G57" s="1">
        <v>0</v>
      </c>
      <c r="H57" s="1">
        <f t="shared" si="1"/>
        <v>1150</v>
      </c>
      <c r="I57" s="460"/>
      <c r="J57" s="1">
        <f>VLOOKUP(B57,'App 4 - Recyclables'!$B$6:$H$133,7,FALSE)</f>
        <v>0</v>
      </c>
      <c r="K57" s="1">
        <f>VLOOKUP(B57,'App 5 - Organics'!$B$5:$AB$132,27,FALSE)</f>
        <v>0</v>
      </c>
      <c r="L57" s="461"/>
      <c r="M57" s="1">
        <f>VLOOKUP(B57,'App 4 - Recyclables'!$B$6:$P$133,15,FALSE)</f>
        <v>0</v>
      </c>
      <c r="N57" s="1">
        <f>VLOOKUP(B57,'App 5 - Organics'!$B$5:$P$132,15,FALSE)</f>
        <v>0</v>
      </c>
      <c r="O57" s="460"/>
      <c r="P57" s="1">
        <v>2400</v>
      </c>
      <c r="Q57" s="1">
        <v>0</v>
      </c>
      <c r="R57" s="1">
        <v>2400</v>
      </c>
      <c r="S57" s="460"/>
      <c r="T57" s="1">
        <f>VLOOKUP(B57,'App 4 - Recyclables'!$B$6:$T$133,19,FALSE)</f>
        <v>0</v>
      </c>
      <c r="U57" s="1">
        <f>VLOOKUP(B57,'App 5 - Organics'!$B$5:$T$132,19,FALSE)</f>
        <v>0</v>
      </c>
      <c r="V57" s="460"/>
      <c r="W57" s="1">
        <v>0</v>
      </c>
      <c r="X57" s="1">
        <v>0</v>
      </c>
      <c r="Y57" s="1">
        <v>0</v>
      </c>
      <c r="Z57" s="460"/>
      <c r="AA57" s="462">
        <f t="shared" si="2"/>
        <v>3550</v>
      </c>
      <c r="AB57" s="460"/>
      <c r="AC57" s="463">
        <f t="shared" si="5"/>
        <v>3550</v>
      </c>
      <c r="AD57" s="463">
        <f t="shared" si="5"/>
        <v>0</v>
      </c>
      <c r="AE57" s="463">
        <f t="shared" si="5"/>
        <v>3550</v>
      </c>
      <c r="AF57" s="463">
        <f t="shared" si="4"/>
        <v>0</v>
      </c>
      <c r="AG57" s="463">
        <f t="shared" si="0"/>
        <v>0</v>
      </c>
      <c r="AH57" s="4"/>
      <c r="AI57" s="227">
        <v>0</v>
      </c>
      <c r="AJ57" s="227">
        <v>0</v>
      </c>
      <c r="AK57" s="227">
        <v>0</v>
      </c>
    </row>
    <row r="58" spans="1:37" x14ac:dyDescent="0.2">
      <c r="A58" s="8">
        <v>13910</v>
      </c>
      <c r="B58" s="8" t="s">
        <v>115</v>
      </c>
      <c r="C58" s="8" t="s">
        <v>67</v>
      </c>
      <c r="D58" s="29" t="s">
        <v>1</v>
      </c>
      <c r="E58" s="323"/>
      <c r="F58" s="1">
        <v>9188</v>
      </c>
      <c r="G58" s="1">
        <v>0</v>
      </c>
      <c r="H58" s="1">
        <f t="shared" si="1"/>
        <v>9188</v>
      </c>
      <c r="I58" s="460"/>
      <c r="J58" s="1">
        <f>VLOOKUP(B58,'App 4 - Recyclables'!$B$6:$H$133,7,FALSE)</f>
        <v>2217</v>
      </c>
      <c r="K58" s="1">
        <f>VLOOKUP(B58,'App 5 - Organics'!$B$5:$AB$132,27,FALSE)</f>
        <v>7332</v>
      </c>
      <c r="L58" s="461"/>
      <c r="M58" s="1">
        <f>VLOOKUP(B58,'App 4 - Recyclables'!$B$6:$P$133,15,FALSE)</f>
        <v>1991</v>
      </c>
      <c r="N58" s="1">
        <f>VLOOKUP(B58,'App 5 - Organics'!$B$5:$P$132,15,FALSE)</f>
        <v>2430</v>
      </c>
      <c r="O58" s="460"/>
      <c r="P58" s="1">
        <v>14149</v>
      </c>
      <c r="Q58" s="1">
        <v>0</v>
      </c>
      <c r="R58" s="1">
        <v>14149</v>
      </c>
      <c r="S58" s="460"/>
      <c r="T58" s="1">
        <f>VLOOKUP(B58,'App 4 - Recyclables'!$B$6:$T$133,19,FALSE)</f>
        <v>0</v>
      </c>
      <c r="U58" s="1">
        <f>VLOOKUP(B58,'App 5 - Organics'!$B$5:$T$132,19,FALSE)</f>
        <v>0</v>
      </c>
      <c r="V58" s="460"/>
      <c r="W58" s="1">
        <v>0</v>
      </c>
      <c r="X58" s="1">
        <v>0</v>
      </c>
      <c r="Y58" s="1">
        <v>0</v>
      </c>
      <c r="Z58" s="460"/>
      <c r="AA58" s="462">
        <f t="shared" si="2"/>
        <v>37307</v>
      </c>
      <c r="AB58" s="460"/>
      <c r="AC58" s="463">
        <f t="shared" si="5"/>
        <v>23337</v>
      </c>
      <c r="AD58" s="463">
        <f t="shared" si="5"/>
        <v>0</v>
      </c>
      <c r="AE58" s="463">
        <f t="shared" si="5"/>
        <v>23337</v>
      </c>
      <c r="AF58" s="463">
        <f t="shared" si="4"/>
        <v>4208</v>
      </c>
      <c r="AG58" s="463">
        <f t="shared" si="0"/>
        <v>9762</v>
      </c>
      <c r="AH58" s="4"/>
      <c r="AI58" s="227">
        <v>312</v>
      </c>
      <c r="AJ58" s="227">
        <v>0</v>
      </c>
      <c r="AK58" s="227">
        <v>312</v>
      </c>
    </row>
    <row r="59" spans="1:37" x14ac:dyDescent="0.2">
      <c r="A59" s="8">
        <v>14000</v>
      </c>
      <c r="B59" s="8" t="s">
        <v>116</v>
      </c>
      <c r="C59" s="8" t="s">
        <v>24</v>
      </c>
      <c r="D59" s="29" t="s">
        <v>2</v>
      </c>
      <c r="E59" s="323"/>
      <c r="F59" s="1">
        <v>31042</v>
      </c>
      <c r="G59" s="1">
        <v>0</v>
      </c>
      <c r="H59" s="1">
        <f t="shared" si="1"/>
        <v>31042</v>
      </c>
      <c r="I59" s="460"/>
      <c r="J59" s="1">
        <f>VLOOKUP(B59,'App 4 - Recyclables'!$B$6:$H$133,7,FALSE)</f>
        <v>687</v>
      </c>
      <c r="K59" s="1">
        <f>VLOOKUP(B59,'App 5 - Organics'!$B$5:$AB$132,27,FALSE)</f>
        <v>0</v>
      </c>
      <c r="L59" s="461"/>
      <c r="M59" s="1">
        <f>VLOOKUP(B59,'App 4 - Recyclables'!$B$6:$P$133,15,FALSE)</f>
        <v>0</v>
      </c>
      <c r="N59" s="1">
        <f>VLOOKUP(B59,'App 5 - Organics'!$B$5:$P$132,15,FALSE)</f>
        <v>0</v>
      </c>
      <c r="O59" s="460"/>
      <c r="P59" s="1">
        <v>321</v>
      </c>
      <c r="Q59" s="1">
        <v>321</v>
      </c>
      <c r="R59" s="1">
        <v>0</v>
      </c>
      <c r="S59" s="460"/>
      <c r="T59" s="1">
        <f>VLOOKUP(B59,'App 4 - Recyclables'!$B$6:$T$133,19,FALSE)</f>
        <v>0</v>
      </c>
      <c r="U59" s="1">
        <f>VLOOKUP(B59,'App 5 - Organics'!$B$5:$T$132,19,FALSE)</f>
        <v>0</v>
      </c>
      <c r="V59" s="460"/>
      <c r="W59" s="1">
        <v>0</v>
      </c>
      <c r="X59" s="1">
        <v>0</v>
      </c>
      <c r="Y59" s="1">
        <v>0</v>
      </c>
      <c r="Z59" s="460"/>
      <c r="AA59" s="462">
        <f t="shared" si="2"/>
        <v>31729</v>
      </c>
      <c r="AB59" s="460"/>
      <c r="AC59" s="463">
        <f t="shared" si="5"/>
        <v>31363</v>
      </c>
      <c r="AD59" s="463">
        <f t="shared" si="5"/>
        <v>321</v>
      </c>
      <c r="AE59" s="463">
        <f t="shared" si="5"/>
        <v>31042</v>
      </c>
      <c r="AF59" s="463">
        <f t="shared" si="4"/>
        <v>687</v>
      </c>
      <c r="AG59" s="463">
        <f t="shared" si="0"/>
        <v>0</v>
      </c>
      <c r="AH59" s="4"/>
      <c r="AI59" s="227">
        <v>0</v>
      </c>
      <c r="AJ59" s="227">
        <v>0</v>
      </c>
      <c r="AK59" s="227">
        <v>0</v>
      </c>
    </row>
    <row r="60" spans="1:37" x14ac:dyDescent="0.2">
      <c r="A60" s="8">
        <v>14100</v>
      </c>
      <c r="B60" s="8" t="s">
        <v>49</v>
      </c>
      <c r="C60" s="8" t="s">
        <v>24</v>
      </c>
      <c r="D60" s="29" t="s">
        <v>2</v>
      </c>
      <c r="E60" s="323"/>
      <c r="F60" s="1">
        <v>2960.86</v>
      </c>
      <c r="G60" s="1">
        <v>104.31</v>
      </c>
      <c r="H60" s="1">
        <f t="shared" si="1"/>
        <v>2856.55</v>
      </c>
      <c r="I60" s="460"/>
      <c r="J60" s="1">
        <f>VLOOKUP(B60,'App 4 - Recyclables'!$B$6:$H$133,7,FALSE)</f>
        <v>0</v>
      </c>
      <c r="K60" s="1">
        <f>VLOOKUP(B60,'App 5 - Organics'!$B$5:$AB$132,27,FALSE)</f>
        <v>0</v>
      </c>
      <c r="L60" s="461"/>
      <c r="M60" s="1">
        <f>VLOOKUP(B60,'App 4 - Recyclables'!$B$6:$P$133,15,FALSE)</f>
        <v>0</v>
      </c>
      <c r="N60" s="1">
        <f>VLOOKUP(B60,'App 5 - Organics'!$B$5:$P$132,15,FALSE)</f>
        <v>0</v>
      </c>
      <c r="O60" s="460"/>
      <c r="P60" s="1">
        <v>0</v>
      </c>
      <c r="Q60" s="1">
        <v>0</v>
      </c>
      <c r="R60" s="1">
        <v>0</v>
      </c>
      <c r="S60" s="460"/>
      <c r="T60" s="1">
        <f>VLOOKUP(B60,'App 4 - Recyclables'!$B$6:$T$133,19,FALSE)</f>
        <v>0</v>
      </c>
      <c r="U60" s="1">
        <f>VLOOKUP(B60,'App 5 - Organics'!$B$5:$T$132,19,FALSE)</f>
        <v>0</v>
      </c>
      <c r="V60" s="460"/>
      <c r="W60" s="1">
        <v>261.5</v>
      </c>
      <c r="X60" s="1">
        <v>122.25</v>
      </c>
      <c r="Y60" s="1">
        <v>139.25</v>
      </c>
      <c r="Z60" s="460"/>
      <c r="AA60" s="462">
        <f t="shared" si="2"/>
        <v>2995.8</v>
      </c>
      <c r="AB60" s="460"/>
      <c r="AC60" s="463">
        <f t="shared" si="5"/>
        <v>3222.36</v>
      </c>
      <c r="AD60" s="463">
        <f t="shared" si="5"/>
        <v>226.56</v>
      </c>
      <c r="AE60" s="463">
        <f t="shared" si="5"/>
        <v>2995.8</v>
      </c>
      <c r="AF60" s="463">
        <f t="shared" si="4"/>
        <v>0</v>
      </c>
      <c r="AG60" s="463">
        <f t="shared" si="0"/>
        <v>0</v>
      </c>
      <c r="AH60" s="4"/>
      <c r="AI60" s="227">
        <v>0</v>
      </c>
      <c r="AJ60" s="227">
        <v>0</v>
      </c>
      <c r="AK60" s="227">
        <v>0</v>
      </c>
    </row>
    <row r="61" spans="1:37" x14ac:dyDescent="0.2">
      <c r="A61" s="8">
        <v>14170</v>
      </c>
      <c r="B61" s="8" t="s">
        <v>50</v>
      </c>
      <c r="C61" s="8" t="s">
        <v>17</v>
      </c>
      <c r="D61" s="29" t="s">
        <v>2</v>
      </c>
      <c r="E61" s="323"/>
      <c r="F61" s="1">
        <v>37102</v>
      </c>
      <c r="G61" s="1">
        <f>F61-H61</f>
        <v>10018</v>
      </c>
      <c r="H61" s="1">
        <v>27084</v>
      </c>
      <c r="I61" s="460"/>
      <c r="J61" s="1">
        <f>VLOOKUP(B61,'App 4 - Recyclables'!$B$6:$H$133,7,FALSE)</f>
        <v>0</v>
      </c>
      <c r="K61" s="1">
        <f>VLOOKUP(B61,'App 5 - Organics'!$B$5:$AB$132,27,FALSE)</f>
        <v>0</v>
      </c>
      <c r="L61" s="461"/>
      <c r="M61" s="1">
        <f>VLOOKUP(B61,'App 4 - Recyclables'!$B$6:$P$133,15,FALSE)</f>
        <v>0</v>
      </c>
      <c r="N61" s="1">
        <f>VLOOKUP(B61,'App 5 - Organics'!$B$5:$P$132,15,FALSE)</f>
        <v>0</v>
      </c>
      <c r="O61" s="460"/>
      <c r="P61" s="1">
        <v>0</v>
      </c>
      <c r="Q61" s="1">
        <v>0</v>
      </c>
      <c r="R61" s="1">
        <v>0</v>
      </c>
      <c r="S61" s="460"/>
      <c r="T61" s="1">
        <f>VLOOKUP(B61,'App 4 - Recyclables'!$B$6:$T$133,19,FALSE)</f>
        <v>0</v>
      </c>
      <c r="U61" s="1">
        <f>VLOOKUP(B61,'App 5 - Organics'!$B$5:$T$132,19,FALSE)</f>
        <v>0</v>
      </c>
      <c r="V61" s="460"/>
      <c r="W61" s="1">
        <v>0</v>
      </c>
      <c r="X61" s="1">
        <v>0</v>
      </c>
      <c r="Y61" s="1">
        <v>0</v>
      </c>
      <c r="Z61" s="460"/>
      <c r="AA61" s="462">
        <f t="shared" si="2"/>
        <v>27084</v>
      </c>
      <c r="AB61" s="460"/>
      <c r="AC61" s="463">
        <f t="shared" si="5"/>
        <v>37102</v>
      </c>
      <c r="AD61" s="463">
        <f t="shared" si="5"/>
        <v>10018</v>
      </c>
      <c r="AE61" s="463">
        <f t="shared" si="5"/>
        <v>27084</v>
      </c>
      <c r="AF61" s="463">
        <f t="shared" si="4"/>
        <v>0</v>
      </c>
      <c r="AG61" s="463">
        <f t="shared" si="0"/>
        <v>0</v>
      </c>
      <c r="AH61" s="4"/>
      <c r="AI61" s="227">
        <v>0</v>
      </c>
      <c r="AJ61" s="227">
        <v>0</v>
      </c>
      <c r="AK61" s="227">
        <v>0</v>
      </c>
    </row>
    <row r="62" spans="1:37" x14ac:dyDescent="0.2">
      <c r="A62" s="8">
        <v>14220</v>
      </c>
      <c r="B62" s="8" t="s">
        <v>117</v>
      </c>
      <c r="C62" s="8" t="s">
        <v>16</v>
      </c>
      <c r="D62" s="29" t="s">
        <v>1</v>
      </c>
      <c r="E62" s="323"/>
      <c r="F62" s="1">
        <v>4828</v>
      </c>
      <c r="G62" s="1">
        <v>0</v>
      </c>
      <c r="H62" s="1">
        <f t="shared" si="1"/>
        <v>4828</v>
      </c>
      <c r="I62" s="460"/>
      <c r="J62" s="1">
        <f>VLOOKUP(B62,'App 4 - Recyclables'!$B$6:$H$133,7,FALSE)</f>
        <v>298</v>
      </c>
      <c r="K62" s="1">
        <f>VLOOKUP(B62,'App 5 - Organics'!$B$5:$AB$132,27,FALSE)</f>
        <v>0</v>
      </c>
      <c r="L62" s="461"/>
      <c r="M62" s="1">
        <f>VLOOKUP(B62,'App 4 - Recyclables'!$B$6:$P$133,15,FALSE)</f>
        <v>0</v>
      </c>
      <c r="N62" s="1">
        <f>VLOOKUP(B62,'App 5 - Organics'!$B$5:$P$132,15,FALSE)</f>
        <v>0</v>
      </c>
      <c r="O62" s="460"/>
      <c r="P62" s="1">
        <v>1873.07</v>
      </c>
      <c r="Q62" s="1">
        <v>22.169999999999845</v>
      </c>
      <c r="R62" s="1">
        <v>1850.9</v>
      </c>
      <c r="S62" s="460"/>
      <c r="T62" s="1">
        <f>VLOOKUP(B62,'App 4 - Recyclables'!$B$6:$T$133,19,FALSE)</f>
        <v>0</v>
      </c>
      <c r="U62" s="1">
        <f>VLOOKUP(B62,'App 5 - Organics'!$B$5:$T$132,19,FALSE)</f>
        <v>0</v>
      </c>
      <c r="V62" s="460"/>
      <c r="W62" s="1">
        <v>0</v>
      </c>
      <c r="X62" s="1">
        <v>0</v>
      </c>
      <c r="Y62" s="1">
        <v>0</v>
      </c>
      <c r="Z62" s="460"/>
      <c r="AA62" s="462">
        <f t="shared" si="2"/>
        <v>6976.9</v>
      </c>
      <c r="AB62" s="460"/>
      <c r="AC62" s="463">
        <f t="shared" si="5"/>
        <v>6701.07</v>
      </c>
      <c r="AD62" s="463">
        <f t="shared" si="5"/>
        <v>22.169999999999845</v>
      </c>
      <c r="AE62" s="463">
        <f t="shared" si="5"/>
        <v>6678.9</v>
      </c>
      <c r="AF62" s="463">
        <f t="shared" si="4"/>
        <v>298</v>
      </c>
      <c r="AG62" s="463">
        <f t="shared" si="0"/>
        <v>0</v>
      </c>
      <c r="AH62" s="4"/>
      <c r="AI62" s="227">
        <v>600.20000000000005</v>
      </c>
      <c r="AJ62" s="227">
        <v>0.20000000000004547</v>
      </c>
      <c r="AK62" s="227">
        <v>600</v>
      </c>
    </row>
    <row r="63" spans="1:37" x14ac:dyDescent="0.2">
      <c r="A63" s="8">
        <v>14300</v>
      </c>
      <c r="B63" s="8" t="s">
        <v>118</v>
      </c>
      <c r="C63" s="8" t="s">
        <v>21</v>
      </c>
      <c r="D63" s="29" t="s">
        <v>1</v>
      </c>
      <c r="E63" s="323"/>
      <c r="F63" s="1">
        <v>834.79</v>
      </c>
      <c r="G63" s="1">
        <v>0</v>
      </c>
      <c r="H63" s="1">
        <f>F63-G63</f>
        <v>834.79</v>
      </c>
      <c r="I63" s="460"/>
      <c r="J63" s="1">
        <f>VLOOKUP(B63,'App 4 - Recyclables'!$B$6:$H$133,7,FALSE)</f>
        <v>0</v>
      </c>
      <c r="K63" s="1">
        <f>VLOOKUP(B63,'App 5 - Organics'!$B$5:$AB$132,27,FALSE)</f>
        <v>0</v>
      </c>
      <c r="L63" s="461"/>
      <c r="M63" s="1">
        <f>VLOOKUP(B63,'App 4 - Recyclables'!$B$6:$P$133,15,FALSE)</f>
        <v>0</v>
      </c>
      <c r="N63" s="1">
        <f>VLOOKUP(B63,'App 5 - Organics'!$B$5:$P$132,15,FALSE)</f>
        <v>0</v>
      </c>
      <c r="O63" s="460"/>
      <c r="P63" s="1">
        <v>254.69000000000003</v>
      </c>
      <c r="Q63" s="1">
        <v>2.3300000000000125</v>
      </c>
      <c r="R63" s="1">
        <v>252.36</v>
      </c>
      <c r="S63" s="460"/>
      <c r="T63" s="1">
        <f>VLOOKUP(B63,'App 4 - Recyclables'!$B$6:$T$133,19,FALSE)</f>
        <v>0</v>
      </c>
      <c r="U63" s="1">
        <f>VLOOKUP(B63,'App 5 - Organics'!$B$5:$T$132,19,FALSE)</f>
        <v>0</v>
      </c>
      <c r="V63" s="460"/>
      <c r="W63" s="1">
        <v>0</v>
      </c>
      <c r="X63" s="1">
        <v>0</v>
      </c>
      <c r="Y63" s="1">
        <v>0</v>
      </c>
      <c r="Z63" s="460"/>
      <c r="AA63" s="462">
        <f t="shared" si="2"/>
        <v>1087.1500000000001</v>
      </c>
      <c r="AB63" s="460"/>
      <c r="AC63" s="463">
        <f t="shared" si="5"/>
        <v>1089.48</v>
      </c>
      <c r="AD63" s="463">
        <f t="shared" si="5"/>
        <v>2.3300000000000125</v>
      </c>
      <c r="AE63" s="463">
        <f t="shared" si="5"/>
        <v>1087.1500000000001</v>
      </c>
      <c r="AF63" s="463">
        <f t="shared" si="4"/>
        <v>0</v>
      </c>
      <c r="AG63" s="463">
        <f t="shared" si="0"/>
        <v>0</v>
      </c>
      <c r="AH63" s="4"/>
      <c r="AI63" s="227">
        <v>17.21</v>
      </c>
      <c r="AJ63" s="227">
        <v>0</v>
      </c>
      <c r="AK63" s="227">
        <v>17.21</v>
      </c>
    </row>
    <row r="64" spans="1:37" x14ac:dyDescent="0.2">
      <c r="A64" s="8">
        <v>14350</v>
      </c>
      <c r="B64" s="8" t="s">
        <v>119</v>
      </c>
      <c r="C64" s="8" t="s">
        <v>39</v>
      </c>
      <c r="D64" s="29" t="s">
        <v>3</v>
      </c>
      <c r="E64" s="323"/>
      <c r="F64" s="1">
        <v>5358</v>
      </c>
      <c r="G64" s="1">
        <v>0</v>
      </c>
      <c r="H64" s="1">
        <f t="shared" si="1"/>
        <v>5358</v>
      </c>
      <c r="I64" s="460"/>
      <c r="J64" s="1">
        <f>VLOOKUP(B64,'App 4 - Recyclables'!$B$6:$H$133,7,FALSE)</f>
        <v>0</v>
      </c>
      <c r="K64" s="1">
        <f>VLOOKUP(B64,'App 5 - Organics'!$B$5:$AB$132,27,FALSE)</f>
        <v>0</v>
      </c>
      <c r="L64" s="461"/>
      <c r="M64" s="1">
        <f>VLOOKUP(B64,'App 4 - Recyclables'!$B$6:$P$133,15,FALSE)</f>
        <v>0</v>
      </c>
      <c r="N64" s="1">
        <f>VLOOKUP(B64,'App 5 - Organics'!$B$5:$P$132,15,FALSE)</f>
        <v>0</v>
      </c>
      <c r="O64" s="460"/>
      <c r="P64" s="1">
        <v>4211</v>
      </c>
      <c r="Q64" s="1">
        <v>4211</v>
      </c>
      <c r="R64" s="1">
        <v>0</v>
      </c>
      <c r="S64" s="460"/>
      <c r="T64" s="1">
        <f>VLOOKUP(B64,'App 4 - Recyclables'!$B$6:$T$133,19,FALSE)</f>
        <v>0</v>
      </c>
      <c r="U64" s="1">
        <f>VLOOKUP(B64,'App 5 - Organics'!$B$5:$T$132,19,FALSE)</f>
        <v>0</v>
      </c>
      <c r="V64" s="460"/>
      <c r="W64" s="1">
        <v>0</v>
      </c>
      <c r="X64" s="1">
        <v>0</v>
      </c>
      <c r="Y64" s="1">
        <v>0</v>
      </c>
      <c r="Z64" s="460"/>
      <c r="AA64" s="462">
        <f t="shared" si="2"/>
        <v>5358</v>
      </c>
      <c r="AB64" s="460"/>
      <c r="AC64" s="463">
        <f t="shared" si="5"/>
        <v>9569</v>
      </c>
      <c r="AD64" s="463">
        <f t="shared" si="5"/>
        <v>4211</v>
      </c>
      <c r="AE64" s="463">
        <f t="shared" si="5"/>
        <v>5358</v>
      </c>
      <c r="AF64" s="463">
        <f t="shared" si="4"/>
        <v>0</v>
      </c>
      <c r="AG64" s="463">
        <f t="shared" si="0"/>
        <v>0</v>
      </c>
      <c r="AH64" s="4"/>
      <c r="AI64" s="227">
        <v>1326</v>
      </c>
      <c r="AJ64" s="227">
        <v>0</v>
      </c>
      <c r="AK64" s="227">
        <v>1326</v>
      </c>
    </row>
    <row r="65" spans="1:37" x14ac:dyDescent="0.2">
      <c r="A65" s="8">
        <v>14400</v>
      </c>
      <c r="B65" s="8" t="s">
        <v>120</v>
      </c>
      <c r="C65" s="8" t="s">
        <v>37</v>
      </c>
      <c r="D65" s="29" t="s">
        <v>2</v>
      </c>
      <c r="E65" s="323"/>
      <c r="F65" s="1">
        <v>2898.55</v>
      </c>
      <c r="G65" s="1">
        <v>0</v>
      </c>
      <c r="H65" s="1">
        <f t="shared" si="1"/>
        <v>2898.55</v>
      </c>
      <c r="I65" s="460"/>
      <c r="J65" s="1">
        <f>VLOOKUP(B65,'App 4 - Recyclables'!$B$6:$H$133,7,FALSE)</f>
        <v>0</v>
      </c>
      <c r="K65" s="1">
        <f>VLOOKUP(B65,'App 5 - Organics'!$B$5:$AB$132,27,FALSE)</f>
        <v>0</v>
      </c>
      <c r="L65" s="461"/>
      <c r="M65" s="1">
        <f>VLOOKUP(B65,'App 4 - Recyclables'!$B$6:$P$133,15,FALSE)</f>
        <v>0</v>
      </c>
      <c r="N65" s="1">
        <f>VLOOKUP(B65,'App 5 - Organics'!$B$5:$P$132,15,FALSE)</f>
        <v>0</v>
      </c>
      <c r="O65" s="460"/>
      <c r="P65" s="1">
        <v>0</v>
      </c>
      <c r="Q65" s="1">
        <v>0</v>
      </c>
      <c r="R65" s="1">
        <v>0</v>
      </c>
      <c r="S65" s="460"/>
      <c r="T65" s="1">
        <f>VLOOKUP(B65,'App 4 - Recyclables'!$B$6:$T$133,19,FALSE)</f>
        <v>0</v>
      </c>
      <c r="U65" s="1">
        <f>VLOOKUP(B65,'App 5 - Organics'!$B$5:$T$132,19,FALSE)</f>
        <v>0</v>
      </c>
      <c r="V65" s="460"/>
      <c r="W65" s="1">
        <v>21.26</v>
      </c>
      <c r="X65" s="1">
        <v>0</v>
      </c>
      <c r="Y65" s="1">
        <v>21.26</v>
      </c>
      <c r="Z65" s="460"/>
      <c r="AA65" s="462">
        <f t="shared" si="2"/>
        <v>2919.8100000000004</v>
      </c>
      <c r="AB65" s="460"/>
      <c r="AC65" s="463">
        <f t="shared" si="5"/>
        <v>2919.8100000000004</v>
      </c>
      <c r="AD65" s="463">
        <f t="shared" si="5"/>
        <v>0</v>
      </c>
      <c r="AE65" s="463">
        <f t="shared" si="5"/>
        <v>2919.8100000000004</v>
      </c>
      <c r="AF65" s="463">
        <f t="shared" si="4"/>
        <v>0</v>
      </c>
      <c r="AG65" s="463">
        <f t="shared" si="0"/>
        <v>0</v>
      </c>
      <c r="AH65" s="4"/>
      <c r="AI65" s="227">
        <v>0</v>
      </c>
      <c r="AJ65" s="227">
        <v>0</v>
      </c>
      <c r="AK65" s="227">
        <v>0</v>
      </c>
    </row>
    <row r="66" spans="1:37" x14ac:dyDescent="0.2">
      <c r="A66" s="8">
        <v>14500</v>
      </c>
      <c r="B66" s="8" t="s">
        <v>51</v>
      </c>
      <c r="C66" s="8" t="s">
        <v>24</v>
      </c>
      <c r="D66" s="29" t="s">
        <v>2</v>
      </c>
      <c r="E66" s="323"/>
      <c r="F66" s="1">
        <v>22506.46</v>
      </c>
      <c r="G66" s="1">
        <v>1755.5200000000004</v>
      </c>
      <c r="H66" s="1">
        <f t="shared" si="1"/>
        <v>20750.939999999999</v>
      </c>
      <c r="I66" s="460"/>
      <c r="J66" s="1">
        <f>VLOOKUP(B66,'App 4 - Recyclables'!$B$6:$H$133,7,FALSE)</f>
        <v>0</v>
      </c>
      <c r="K66" s="1">
        <f>VLOOKUP(B66,'App 5 - Organics'!$B$5:$AB$132,27,FALSE)</f>
        <v>0</v>
      </c>
      <c r="L66" s="461"/>
      <c r="M66" s="1">
        <f>VLOOKUP(B66,'App 4 - Recyclables'!$B$6:$P$133,15,FALSE)</f>
        <v>0</v>
      </c>
      <c r="N66" s="1">
        <f>VLOOKUP(B66,'App 5 - Organics'!$B$5:$P$132,15,FALSE)</f>
        <v>0</v>
      </c>
      <c r="O66" s="460"/>
      <c r="P66" s="1">
        <v>32.590000000000003</v>
      </c>
      <c r="Q66" s="1">
        <v>32.590000000000003</v>
      </c>
      <c r="R66" s="1">
        <v>0</v>
      </c>
      <c r="S66" s="460"/>
      <c r="T66" s="1">
        <f>VLOOKUP(B66,'App 4 - Recyclables'!$B$6:$T$133,19,FALSE)</f>
        <v>0</v>
      </c>
      <c r="U66" s="1">
        <f>VLOOKUP(B66,'App 5 - Organics'!$B$5:$T$132,19,FALSE)</f>
        <v>0</v>
      </c>
      <c r="V66" s="460"/>
      <c r="W66" s="1">
        <v>3352.28</v>
      </c>
      <c r="X66" s="1">
        <v>1691.9</v>
      </c>
      <c r="Y66" s="1">
        <v>1660.38</v>
      </c>
      <c r="Z66" s="460"/>
      <c r="AA66" s="462">
        <f t="shared" si="2"/>
        <v>22411.32</v>
      </c>
      <c r="AB66" s="460"/>
      <c r="AC66" s="463">
        <f t="shared" si="5"/>
        <v>25891.329999999998</v>
      </c>
      <c r="AD66" s="463">
        <f t="shared" si="5"/>
        <v>3480.01</v>
      </c>
      <c r="AE66" s="463">
        <f t="shared" si="5"/>
        <v>22411.32</v>
      </c>
      <c r="AF66" s="463">
        <f t="shared" si="4"/>
        <v>0</v>
      </c>
      <c r="AG66" s="463">
        <f t="shared" si="0"/>
        <v>0</v>
      </c>
      <c r="AH66" s="4"/>
      <c r="AI66" s="227">
        <v>216.56</v>
      </c>
      <c r="AJ66" s="227">
        <v>0</v>
      </c>
      <c r="AK66" s="227">
        <v>216.56</v>
      </c>
    </row>
    <row r="67" spans="1:37" x14ac:dyDescent="0.2">
      <c r="A67" s="8">
        <v>14550</v>
      </c>
      <c r="B67" s="8" t="s">
        <v>121</v>
      </c>
      <c r="C67" s="8" t="s">
        <v>19</v>
      </c>
      <c r="D67" s="29" t="s">
        <v>3</v>
      </c>
      <c r="E67" s="323"/>
      <c r="F67" s="1">
        <v>978.5</v>
      </c>
      <c r="G67" s="1">
        <v>0</v>
      </c>
      <c r="H67" s="1">
        <f t="shared" si="1"/>
        <v>978.5</v>
      </c>
      <c r="I67" s="460"/>
      <c r="J67" s="1">
        <f>VLOOKUP(B67,'App 4 - Recyclables'!$B$6:$H$133,7,FALSE)</f>
        <v>0</v>
      </c>
      <c r="K67" s="1">
        <f>VLOOKUP(B67,'App 5 - Organics'!$B$5:$AB$132,27,FALSE)</f>
        <v>0</v>
      </c>
      <c r="L67" s="461"/>
      <c r="M67" s="1">
        <f>VLOOKUP(B67,'App 4 - Recyclables'!$B$6:$P$133,15,FALSE)</f>
        <v>0</v>
      </c>
      <c r="N67" s="1">
        <f>VLOOKUP(B67,'App 5 - Organics'!$B$5:$P$132,15,FALSE)</f>
        <v>0</v>
      </c>
      <c r="O67" s="460"/>
      <c r="P67" s="1">
        <v>1846.24</v>
      </c>
      <c r="Q67" s="1">
        <v>8.0599999999999454</v>
      </c>
      <c r="R67" s="1">
        <v>1838.18</v>
      </c>
      <c r="S67" s="460"/>
      <c r="T67" s="1">
        <f>VLOOKUP(B67,'App 4 - Recyclables'!$B$6:$T$133,19,FALSE)</f>
        <v>0</v>
      </c>
      <c r="U67" s="1">
        <f>VLOOKUP(B67,'App 5 - Organics'!$B$5:$T$132,19,FALSE)</f>
        <v>0</v>
      </c>
      <c r="V67" s="460"/>
      <c r="W67" s="1">
        <v>0</v>
      </c>
      <c r="X67" s="1">
        <v>0</v>
      </c>
      <c r="Y67" s="1">
        <v>0</v>
      </c>
      <c r="Z67" s="460"/>
      <c r="AA67" s="462">
        <f t="shared" si="2"/>
        <v>2816.6800000000003</v>
      </c>
      <c r="AB67" s="460"/>
      <c r="AC67" s="463">
        <f t="shared" si="5"/>
        <v>2824.74</v>
      </c>
      <c r="AD67" s="463">
        <f t="shared" si="5"/>
        <v>8.0599999999999454</v>
      </c>
      <c r="AE67" s="463">
        <f t="shared" si="5"/>
        <v>2816.6800000000003</v>
      </c>
      <c r="AF67" s="463">
        <f t="shared" si="4"/>
        <v>0</v>
      </c>
      <c r="AG67" s="463">
        <f t="shared" si="0"/>
        <v>0</v>
      </c>
      <c r="AH67" s="4"/>
      <c r="AI67" s="227">
        <v>0</v>
      </c>
      <c r="AJ67" s="227">
        <v>0</v>
      </c>
      <c r="AK67" s="227">
        <v>0</v>
      </c>
    </row>
    <row r="68" spans="1:37" x14ac:dyDescent="0.2">
      <c r="A68" s="8">
        <v>14600</v>
      </c>
      <c r="B68" s="8" t="s">
        <v>122</v>
      </c>
      <c r="C68" s="8" t="s">
        <v>38</v>
      </c>
      <c r="D68" s="29" t="s">
        <v>1</v>
      </c>
      <c r="E68" s="323"/>
      <c r="F68" s="1">
        <v>840</v>
      </c>
      <c r="G68" s="1">
        <v>0</v>
      </c>
      <c r="H68" s="1">
        <f t="shared" si="1"/>
        <v>840</v>
      </c>
      <c r="I68" s="460"/>
      <c r="J68" s="1">
        <f>VLOOKUP(B68,'App 4 - Recyclables'!$B$6:$H$133,7,FALSE)</f>
        <v>0</v>
      </c>
      <c r="K68" s="1">
        <f>VLOOKUP(B68,'App 5 - Organics'!$B$5:$AB$132,27,FALSE)</f>
        <v>0</v>
      </c>
      <c r="L68" s="461"/>
      <c r="M68" s="1">
        <f>VLOOKUP(B68,'App 4 - Recyclables'!$B$6:$P$133,15,FALSE)</f>
        <v>0</v>
      </c>
      <c r="N68" s="1">
        <f>VLOOKUP(B68,'App 5 - Organics'!$B$5:$P$132,15,FALSE)</f>
        <v>0</v>
      </c>
      <c r="O68" s="460"/>
      <c r="P68" s="1">
        <v>0</v>
      </c>
      <c r="Q68" s="1">
        <v>0</v>
      </c>
      <c r="R68" s="1">
        <v>0</v>
      </c>
      <c r="S68" s="460"/>
      <c r="T68" s="1">
        <f>VLOOKUP(B68,'App 4 - Recyclables'!$B$6:$T$133,19,FALSE)</f>
        <v>0</v>
      </c>
      <c r="U68" s="1">
        <f>VLOOKUP(B68,'App 5 - Organics'!$B$5:$T$132,19,FALSE)</f>
        <v>0</v>
      </c>
      <c r="V68" s="460"/>
      <c r="W68" s="1">
        <v>0</v>
      </c>
      <c r="X68" s="1">
        <v>0</v>
      </c>
      <c r="Y68" s="1">
        <v>0</v>
      </c>
      <c r="Z68" s="460"/>
      <c r="AA68" s="462">
        <f t="shared" si="2"/>
        <v>840</v>
      </c>
      <c r="AB68" s="460"/>
      <c r="AC68" s="463">
        <f t="shared" si="5"/>
        <v>840</v>
      </c>
      <c r="AD68" s="463">
        <f t="shared" si="5"/>
        <v>0</v>
      </c>
      <c r="AE68" s="463">
        <f t="shared" si="5"/>
        <v>840</v>
      </c>
      <c r="AF68" s="463">
        <f t="shared" si="4"/>
        <v>0</v>
      </c>
      <c r="AG68" s="463">
        <f t="shared" si="0"/>
        <v>0</v>
      </c>
      <c r="AH68" s="4"/>
      <c r="AI68" s="227">
        <v>0</v>
      </c>
      <c r="AJ68" s="227">
        <v>0</v>
      </c>
      <c r="AK68" s="227">
        <v>0</v>
      </c>
    </row>
    <row r="69" spans="1:37" x14ac:dyDescent="0.2">
      <c r="A69" s="8">
        <v>14650</v>
      </c>
      <c r="B69" s="8" t="s">
        <v>123</v>
      </c>
      <c r="C69" s="8" t="s">
        <v>23</v>
      </c>
      <c r="D69" s="29" t="s">
        <v>2</v>
      </c>
      <c r="E69" s="323"/>
      <c r="F69" s="1">
        <v>36353.019999999997</v>
      </c>
      <c r="G69" s="1">
        <v>0</v>
      </c>
      <c r="H69" s="1">
        <f t="shared" si="1"/>
        <v>36353.019999999997</v>
      </c>
      <c r="I69" s="460"/>
      <c r="J69" s="1">
        <f>VLOOKUP(B69,'App 4 - Recyclables'!$B$6:$H$133,7,FALSE)</f>
        <v>1404.77</v>
      </c>
      <c r="K69" s="1">
        <f>VLOOKUP(B69,'App 5 - Organics'!$B$5:$AB$132,27,FALSE)</f>
        <v>109</v>
      </c>
      <c r="L69" s="461"/>
      <c r="M69" s="1">
        <f>VLOOKUP(B69,'App 4 - Recyclables'!$B$6:$P$133,15,FALSE)</f>
        <v>0</v>
      </c>
      <c r="N69" s="1">
        <f>VLOOKUP(B69,'App 5 - Organics'!$B$5:$P$132,15,FALSE)</f>
        <v>0</v>
      </c>
      <c r="O69" s="460"/>
      <c r="P69" s="1">
        <v>4092</v>
      </c>
      <c r="Q69" s="1">
        <v>5</v>
      </c>
      <c r="R69" s="1">
        <v>4087</v>
      </c>
      <c r="S69" s="460"/>
      <c r="T69" s="1">
        <f>VLOOKUP(B69,'App 4 - Recyclables'!$B$6:$T$133,19,FALSE)</f>
        <v>0</v>
      </c>
      <c r="U69" s="1">
        <f>VLOOKUP(B69,'App 5 - Organics'!$B$5:$T$132,19,FALSE)</f>
        <v>0</v>
      </c>
      <c r="V69" s="460"/>
      <c r="W69" s="1">
        <v>9163.42</v>
      </c>
      <c r="X69" s="1">
        <v>0</v>
      </c>
      <c r="Y69" s="1">
        <v>9163.42</v>
      </c>
      <c r="Z69" s="460"/>
      <c r="AA69" s="462">
        <f t="shared" si="2"/>
        <v>51117.209999999992</v>
      </c>
      <c r="AB69" s="460"/>
      <c r="AC69" s="463">
        <f t="shared" ref="AC69:AE100" si="6">F69+P69+W69</f>
        <v>49608.439999999995</v>
      </c>
      <c r="AD69" s="463">
        <f t="shared" si="6"/>
        <v>5</v>
      </c>
      <c r="AE69" s="463">
        <f t="shared" si="6"/>
        <v>49603.439999999995</v>
      </c>
      <c r="AF69" s="463">
        <f t="shared" si="4"/>
        <v>1404.77</v>
      </c>
      <c r="AG69" s="463">
        <f t="shared" si="4"/>
        <v>109</v>
      </c>
      <c r="AH69" s="4"/>
      <c r="AI69" s="227">
        <v>549</v>
      </c>
      <c r="AJ69" s="227">
        <v>0</v>
      </c>
      <c r="AK69" s="227">
        <v>549</v>
      </c>
    </row>
    <row r="70" spans="1:37" x14ac:dyDescent="0.2">
      <c r="A70" s="8">
        <v>14700</v>
      </c>
      <c r="B70" s="8" t="s">
        <v>52</v>
      </c>
      <c r="C70" s="8" t="s">
        <v>24</v>
      </c>
      <c r="D70" s="29" t="s">
        <v>2</v>
      </c>
      <c r="E70" s="323"/>
      <c r="F70" s="1">
        <v>7349.08</v>
      </c>
      <c r="G70" s="1">
        <v>313.40999999999997</v>
      </c>
      <c r="H70" s="1">
        <f t="shared" ref="H70:H132" si="7">F70-G70</f>
        <v>7035.67</v>
      </c>
      <c r="I70" s="460"/>
      <c r="J70" s="1">
        <f>VLOOKUP(B70,'App 4 - Recyclables'!$B$6:$H$133,7,FALSE)</f>
        <v>0</v>
      </c>
      <c r="K70" s="1">
        <f>VLOOKUP(B70,'App 5 - Organics'!$B$5:$AB$132,27,FALSE)</f>
        <v>0</v>
      </c>
      <c r="L70" s="461"/>
      <c r="M70" s="1">
        <f>VLOOKUP(B70,'App 4 - Recyclables'!$B$6:$P$133,15,FALSE)</f>
        <v>0</v>
      </c>
      <c r="N70" s="1">
        <f>VLOOKUP(B70,'App 5 - Organics'!$B$5:$P$132,15,FALSE)</f>
        <v>0</v>
      </c>
      <c r="O70" s="460"/>
      <c r="P70" s="1">
        <v>38.979999999999997</v>
      </c>
      <c r="Q70" s="1">
        <v>38.979999999999997</v>
      </c>
      <c r="R70" s="1">
        <v>0</v>
      </c>
      <c r="S70" s="460"/>
      <c r="T70" s="1">
        <f>VLOOKUP(B70,'App 4 - Recyclables'!$B$6:$T$133,19,FALSE)</f>
        <v>0</v>
      </c>
      <c r="U70" s="1">
        <f>VLOOKUP(B70,'App 5 - Organics'!$B$5:$T$132,19,FALSE)</f>
        <v>0</v>
      </c>
      <c r="V70" s="460"/>
      <c r="W70" s="1">
        <v>1015.5</v>
      </c>
      <c r="X70" s="1">
        <v>474.11</v>
      </c>
      <c r="Y70" s="1">
        <v>541.39</v>
      </c>
      <c r="Z70" s="460"/>
      <c r="AA70" s="462">
        <f t="shared" ref="AA70:AA132" si="8">H70+J70+K70+M70+N70+R70+T70+U70+Y70</f>
        <v>7577.06</v>
      </c>
      <c r="AB70" s="460"/>
      <c r="AC70" s="463">
        <f t="shared" si="6"/>
        <v>8403.56</v>
      </c>
      <c r="AD70" s="463">
        <f t="shared" si="6"/>
        <v>826.5</v>
      </c>
      <c r="AE70" s="463">
        <f t="shared" si="6"/>
        <v>7577.06</v>
      </c>
      <c r="AF70" s="463">
        <f t="shared" ref="AF70:AG101" si="9">J70+M70+T70</f>
        <v>0</v>
      </c>
      <c r="AG70" s="463">
        <f t="shared" si="9"/>
        <v>0</v>
      </c>
      <c r="AH70" s="4"/>
      <c r="AI70" s="227">
        <v>1254</v>
      </c>
      <c r="AJ70" s="227">
        <v>0</v>
      </c>
      <c r="AK70" s="227">
        <v>1254</v>
      </c>
    </row>
    <row r="71" spans="1:37" x14ac:dyDescent="0.2">
      <c r="A71" s="8">
        <v>14750</v>
      </c>
      <c r="B71" s="8" t="s">
        <v>124</v>
      </c>
      <c r="C71" s="8" t="s">
        <v>68</v>
      </c>
      <c r="D71" s="29" t="s">
        <v>1</v>
      </c>
      <c r="E71" s="323"/>
      <c r="F71" s="1">
        <v>2946.84</v>
      </c>
      <c r="G71" s="1">
        <v>0</v>
      </c>
      <c r="H71" s="1">
        <f t="shared" si="7"/>
        <v>2946.84</v>
      </c>
      <c r="I71" s="460"/>
      <c r="J71" s="1">
        <f>VLOOKUP(B71,'App 4 - Recyclables'!$B$6:$H$133,7,FALSE)</f>
        <v>22.73</v>
      </c>
      <c r="K71" s="1">
        <f>VLOOKUP(B71,'App 5 - Organics'!$B$5:$AB$132,27,FALSE)</f>
        <v>0</v>
      </c>
      <c r="L71" s="461"/>
      <c r="M71" s="1">
        <f>VLOOKUP(B71,'App 4 - Recyclables'!$B$6:$P$133,15,FALSE)</f>
        <v>0</v>
      </c>
      <c r="N71" s="1">
        <f>VLOOKUP(B71,'App 5 - Organics'!$B$5:$P$132,15,FALSE)</f>
        <v>0</v>
      </c>
      <c r="O71" s="460"/>
      <c r="P71" s="1">
        <v>1418.57</v>
      </c>
      <c r="Q71" s="1">
        <v>0</v>
      </c>
      <c r="R71" s="1">
        <v>1418.57</v>
      </c>
      <c r="S71" s="460"/>
      <c r="T71" s="1">
        <f>VLOOKUP(B71,'App 4 - Recyclables'!$B$6:$T$133,19,FALSE)</f>
        <v>0</v>
      </c>
      <c r="U71" s="1">
        <f>VLOOKUP(B71,'App 5 - Organics'!$B$5:$T$132,19,FALSE)</f>
        <v>0</v>
      </c>
      <c r="V71" s="460"/>
      <c r="W71" s="1">
        <v>0</v>
      </c>
      <c r="X71" s="1">
        <v>0</v>
      </c>
      <c r="Y71" s="1">
        <v>0</v>
      </c>
      <c r="Z71" s="460"/>
      <c r="AA71" s="462">
        <f t="shared" si="8"/>
        <v>4388.1400000000003</v>
      </c>
      <c r="AB71" s="460"/>
      <c r="AC71" s="463">
        <f t="shared" si="6"/>
        <v>4365.41</v>
      </c>
      <c r="AD71" s="463">
        <f t="shared" si="6"/>
        <v>0</v>
      </c>
      <c r="AE71" s="463">
        <f t="shared" si="6"/>
        <v>4365.41</v>
      </c>
      <c r="AF71" s="463">
        <f t="shared" si="9"/>
        <v>22.73</v>
      </c>
      <c r="AG71" s="463">
        <f t="shared" si="9"/>
        <v>0</v>
      </c>
      <c r="AH71" s="4"/>
      <c r="AI71" s="227">
        <v>849.29</v>
      </c>
      <c r="AJ71" s="227">
        <v>174.28999999999996</v>
      </c>
      <c r="AK71" s="227">
        <v>675</v>
      </c>
    </row>
    <row r="72" spans="1:37" x14ac:dyDescent="0.2">
      <c r="A72" s="8">
        <v>14850</v>
      </c>
      <c r="B72" s="8" t="s">
        <v>125</v>
      </c>
      <c r="C72" s="8" t="s">
        <v>19</v>
      </c>
      <c r="D72" s="29" t="s">
        <v>3</v>
      </c>
      <c r="E72" s="323"/>
      <c r="F72" s="1">
        <v>6238</v>
      </c>
      <c r="G72" s="1">
        <v>0</v>
      </c>
      <c r="H72" s="1">
        <f t="shared" si="7"/>
        <v>6238</v>
      </c>
      <c r="I72" s="460"/>
      <c r="J72" s="1">
        <f>VLOOKUP(B72,'App 4 - Recyclables'!$B$6:$H$133,7,FALSE)</f>
        <v>1272</v>
      </c>
      <c r="K72" s="1">
        <f>VLOOKUP(B72,'App 5 - Organics'!$B$5:$AB$132,27,FALSE)</f>
        <v>0</v>
      </c>
      <c r="L72" s="461"/>
      <c r="M72" s="1">
        <f>VLOOKUP(B72,'App 4 - Recyclables'!$B$6:$P$133,15,FALSE)</f>
        <v>0</v>
      </c>
      <c r="N72" s="1">
        <f>VLOOKUP(B72,'App 5 - Organics'!$B$5:$P$132,15,FALSE)</f>
        <v>0</v>
      </c>
      <c r="O72" s="460"/>
      <c r="P72" s="1">
        <v>3942</v>
      </c>
      <c r="Q72" s="1">
        <v>3942</v>
      </c>
      <c r="R72" s="1">
        <v>0</v>
      </c>
      <c r="S72" s="460"/>
      <c r="T72" s="1">
        <f>VLOOKUP(B72,'App 4 - Recyclables'!$B$6:$T$133,19,FALSE)</f>
        <v>0</v>
      </c>
      <c r="U72" s="1">
        <f>VLOOKUP(B72,'App 5 - Organics'!$B$5:$T$132,19,FALSE)</f>
        <v>0</v>
      </c>
      <c r="V72" s="460"/>
      <c r="W72" s="1">
        <v>0</v>
      </c>
      <c r="X72" s="1">
        <v>0</v>
      </c>
      <c r="Y72" s="1">
        <v>0</v>
      </c>
      <c r="Z72" s="460"/>
      <c r="AA72" s="462">
        <f t="shared" si="8"/>
        <v>7510</v>
      </c>
      <c r="AB72" s="460"/>
      <c r="AC72" s="463">
        <f t="shared" si="6"/>
        <v>10180</v>
      </c>
      <c r="AD72" s="463">
        <f t="shared" si="6"/>
        <v>3942</v>
      </c>
      <c r="AE72" s="463">
        <f t="shared" si="6"/>
        <v>6238</v>
      </c>
      <c r="AF72" s="463">
        <f t="shared" si="9"/>
        <v>1272</v>
      </c>
      <c r="AG72" s="463">
        <f t="shared" si="9"/>
        <v>0</v>
      </c>
      <c r="AH72" s="4"/>
      <c r="AI72" s="227">
        <v>852</v>
      </c>
      <c r="AJ72" s="227">
        <v>852</v>
      </c>
      <c r="AK72" s="227">
        <v>0</v>
      </c>
    </row>
    <row r="73" spans="1:37" x14ac:dyDescent="0.2">
      <c r="A73" s="8">
        <v>14870</v>
      </c>
      <c r="B73" s="8" t="s">
        <v>126</v>
      </c>
      <c r="C73" s="8" t="s">
        <v>38</v>
      </c>
      <c r="D73" s="29" t="s">
        <v>1</v>
      </c>
      <c r="E73" s="323"/>
      <c r="F73" s="1">
        <v>6063</v>
      </c>
      <c r="G73" s="1">
        <v>0</v>
      </c>
      <c r="H73" s="1">
        <f t="shared" si="7"/>
        <v>6063</v>
      </c>
      <c r="I73" s="460"/>
      <c r="J73" s="1">
        <f>VLOOKUP(B73,'App 4 - Recyclables'!$B$6:$H$133,7,FALSE)</f>
        <v>0</v>
      </c>
      <c r="K73" s="1">
        <f>VLOOKUP(B73,'App 5 - Organics'!$B$5:$AB$132,27,FALSE)</f>
        <v>0</v>
      </c>
      <c r="L73" s="461"/>
      <c r="M73" s="1">
        <f>VLOOKUP(B73,'App 4 - Recyclables'!$B$6:$P$133,15,FALSE)</f>
        <v>0</v>
      </c>
      <c r="N73" s="1">
        <f>VLOOKUP(B73,'App 5 - Organics'!$B$5:$P$132,15,FALSE)</f>
        <v>0</v>
      </c>
      <c r="O73" s="460"/>
      <c r="P73" s="1">
        <v>7166</v>
      </c>
      <c r="Q73" s="1">
        <v>794</v>
      </c>
      <c r="R73" s="1">
        <v>6372</v>
      </c>
      <c r="S73" s="460"/>
      <c r="T73" s="1">
        <f>VLOOKUP(B73,'App 4 - Recyclables'!$B$6:$T$133,19,FALSE)</f>
        <v>0</v>
      </c>
      <c r="U73" s="1">
        <f>VLOOKUP(B73,'App 5 - Organics'!$B$5:$T$132,19,FALSE)</f>
        <v>0</v>
      </c>
      <c r="V73" s="460"/>
      <c r="W73" s="1">
        <v>77.959999999999994</v>
      </c>
      <c r="X73" s="1">
        <v>49.999999999999993</v>
      </c>
      <c r="Y73" s="1">
        <v>27.96</v>
      </c>
      <c r="Z73" s="460"/>
      <c r="AA73" s="462">
        <f t="shared" si="8"/>
        <v>12462.96</v>
      </c>
      <c r="AB73" s="460"/>
      <c r="AC73" s="463">
        <f t="shared" si="6"/>
        <v>13306.96</v>
      </c>
      <c r="AD73" s="463">
        <f t="shared" si="6"/>
        <v>844</v>
      </c>
      <c r="AE73" s="463">
        <f t="shared" si="6"/>
        <v>12462.96</v>
      </c>
      <c r="AF73" s="463">
        <f t="shared" si="9"/>
        <v>0</v>
      </c>
      <c r="AG73" s="463">
        <f t="shared" si="9"/>
        <v>0</v>
      </c>
      <c r="AH73" s="4"/>
      <c r="AI73" s="227">
        <v>4616.12</v>
      </c>
      <c r="AJ73" s="227">
        <v>0.11999999999989086</v>
      </c>
      <c r="AK73" s="227">
        <v>4616</v>
      </c>
    </row>
    <row r="74" spans="1:37" x14ac:dyDescent="0.2">
      <c r="A74" s="8">
        <v>14900</v>
      </c>
      <c r="B74" s="8" t="s">
        <v>53</v>
      </c>
      <c r="C74" s="8" t="s">
        <v>18</v>
      </c>
      <c r="D74" s="29" t="s">
        <v>2</v>
      </c>
      <c r="E74" s="323"/>
      <c r="F74" s="1">
        <v>55788.76</v>
      </c>
      <c r="G74" s="1">
        <v>0</v>
      </c>
      <c r="H74" s="1">
        <f t="shared" si="7"/>
        <v>55788.76</v>
      </c>
      <c r="I74" s="460"/>
      <c r="J74" s="1">
        <f>VLOOKUP(B74,'App 4 - Recyclables'!$B$6:$H$133,7,FALSE)</f>
        <v>1253.1500000000001</v>
      </c>
      <c r="K74" s="1">
        <f>VLOOKUP(B74,'App 5 - Organics'!$B$5:$AB$132,27,FALSE)</f>
        <v>537.36</v>
      </c>
      <c r="L74" s="461"/>
      <c r="M74" s="1">
        <f>VLOOKUP(B74,'App 4 - Recyclables'!$B$6:$P$133,15,FALSE)</f>
        <v>0</v>
      </c>
      <c r="N74" s="1">
        <f>VLOOKUP(B74,'App 5 - Organics'!$B$5:$P$132,15,FALSE)</f>
        <v>0</v>
      </c>
      <c r="O74" s="460"/>
      <c r="P74" s="1">
        <v>257.82</v>
      </c>
      <c r="Q74" s="1">
        <v>257.82</v>
      </c>
      <c r="R74" s="1">
        <v>0</v>
      </c>
      <c r="S74" s="460"/>
      <c r="T74" s="1">
        <f>VLOOKUP(B74,'App 4 - Recyclables'!$B$6:$T$133,19,FALSE)</f>
        <v>12</v>
      </c>
      <c r="U74" s="1">
        <f>VLOOKUP(B74,'App 5 - Organics'!$B$5:$T$132,19,FALSE)</f>
        <v>0</v>
      </c>
      <c r="V74" s="460"/>
      <c r="W74" s="1">
        <v>5306.28</v>
      </c>
      <c r="X74" s="1">
        <v>240.07999999999993</v>
      </c>
      <c r="Y74" s="1">
        <v>5066.2</v>
      </c>
      <c r="Z74" s="460"/>
      <c r="AA74" s="462">
        <f t="shared" si="8"/>
        <v>62657.47</v>
      </c>
      <c r="AB74" s="460"/>
      <c r="AC74" s="463">
        <f t="shared" si="6"/>
        <v>61352.86</v>
      </c>
      <c r="AD74" s="463">
        <f t="shared" si="6"/>
        <v>497.89999999999992</v>
      </c>
      <c r="AE74" s="463">
        <f t="shared" si="6"/>
        <v>60854.96</v>
      </c>
      <c r="AF74" s="463">
        <f t="shared" si="9"/>
        <v>1265.1500000000001</v>
      </c>
      <c r="AG74" s="463">
        <f t="shared" si="9"/>
        <v>537.36</v>
      </c>
      <c r="AH74" s="4"/>
      <c r="AI74" s="227">
        <v>0</v>
      </c>
      <c r="AJ74" s="227">
        <v>0</v>
      </c>
      <c r="AK74" s="227">
        <v>0</v>
      </c>
    </row>
    <row r="75" spans="1:37" x14ac:dyDescent="0.2">
      <c r="A75" s="8">
        <v>14920</v>
      </c>
      <c r="B75" s="8" t="s">
        <v>127</v>
      </c>
      <c r="C75" s="8" t="s">
        <v>16</v>
      </c>
      <c r="D75" s="29" t="s">
        <v>1</v>
      </c>
      <c r="E75" s="323"/>
      <c r="F75" s="1">
        <v>1677</v>
      </c>
      <c r="G75" s="1">
        <v>0</v>
      </c>
      <c r="H75" s="1">
        <f t="shared" si="7"/>
        <v>1677</v>
      </c>
      <c r="I75" s="460"/>
      <c r="J75" s="1">
        <f>VLOOKUP(B75,'App 4 - Recyclables'!$B$6:$H$133,7,FALSE)</f>
        <v>80</v>
      </c>
      <c r="K75" s="1">
        <f>VLOOKUP(B75,'App 5 - Organics'!$B$5:$AB$132,27,FALSE)</f>
        <v>0</v>
      </c>
      <c r="L75" s="461"/>
      <c r="M75" s="1">
        <f>VLOOKUP(B75,'App 4 - Recyclables'!$B$6:$P$133,15,FALSE)</f>
        <v>0</v>
      </c>
      <c r="N75" s="1">
        <f>VLOOKUP(B75,'App 5 - Organics'!$B$5:$P$132,15,FALSE)</f>
        <v>0</v>
      </c>
      <c r="O75" s="460"/>
      <c r="P75" s="1">
        <v>500</v>
      </c>
      <c r="Q75" s="1">
        <v>0</v>
      </c>
      <c r="R75" s="1">
        <v>500</v>
      </c>
      <c r="S75" s="460"/>
      <c r="T75" s="1">
        <f>VLOOKUP(B75,'App 4 - Recyclables'!$B$6:$T$133,19,FALSE)</f>
        <v>0</v>
      </c>
      <c r="U75" s="1">
        <f>VLOOKUP(B75,'App 5 - Organics'!$B$5:$T$132,19,FALSE)</f>
        <v>11</v>
      </c>
      <c r="V75" s="460"/>
      <c r="W75" s="1">
        <v>60</v>
      </c>
      <c r="X75" s="1">
        <v>0</v>
      </c>
      <c r="Y75" s="1">
        <v>60</v>
      </c>
      <c r="Z75" s="460"/>
      <c r="AA75" s="462">
        <f t="shared" si="8"/>
        <v>2328</v>
      </c>
      <c r="AB75" s="460"/>
      <c r="AC75" s="463">
        <f t="shared" si="6"/>
        <v>2237</v>
      </c>
      <c r="AD75" s="463">
        <f t="shared" si="6"/>
        <v>0</v>
      </c>
      <c r="AE75" s="463">
        <f t="shared" si="6"/>
        <v>2237</v>
      </c>
      <c r="AF75" s="463">
        <f t="shared" si="9"/>
        <v>80</v>
      </c>
      <c r="AG75" s="463">
        <f t="shared" si="9"/>
        <v>11</v>
      </c>
      <c r="AH75" s="4"/>
      <c r="AI75" s="227">
        <v>0</v>
      </c>
      <c r="AJ75" s="227">
        <v>0</v>
      </c>
      <c r="AK75" s="227">
        <v>0</v>
      </c>
    </row>
    <row r="76" spans="1:37" x14ac:dyDescent="0.2">
      <c r="A76" s="8">
        <v>14950</v>
      </c>
      <c r="B76" s="8" t="s">
        <v>128</v>
      </c>
      <c r="C76" s="8" t="s">
        <v>21</v>
      </c>
      <c r="D76" s="29" t="s">
        <v>1</v>
      </c>
      <c r="E76" s="323"/>
      <c r="F76" s="1">
        <v>520</v>
      </c>
      <c r="G76" s="1">
        <v>0</v>
      </c>
      <c r="H76" s="1">
        <f t="shared" si="7"/>
        <v>520</v>
      </c>
      <c r="I76" s="460"/>
      <c r="J76" s="1">
        <f>VLOOKUP(B76,'App 4 - Recyclables'!$B$6:$H$133,7,FALSE)</f>
        <v>0</v>
      </c>
      <c r="K76" s="1">
        <f>VLOOKUP(B76,'App 5 - Organics'!$B$5:$AB$132,27,FALSE)</f>
        <v>0</v>
      </c>
      <c r="L76" s="461"/>
      <c r="M76" s="1">
        <f>VLOOKUP(B76,'App 4 - Recyclables'!$B$6:$P$133,15,FALSE)</f>
        <v>1</v>
      </c>
      <c r="N76" s="1">
        <f>VLOOKUP(B76,'App 5 - Organics'!$B$5:$P$132,15,FALSE)</f>
        <v>0</v>
      </c>
      <c r="O76" s="460"/>
      <c r="P76" s="1">
        <v>5</v>
      </c>
      <c r="Q76" s="1">
        <v>5</v>
      </c>
      <c r="R76" s="1">
        <v>0</v>
      </c>
      <c r="S76" s="460"/>
      <c r="T76" s="1">
        <f>VLOOKUP(B76,'App 4 - Recyclables'!$B$6:$T$133,19,FALSE)</f>
        <v>0</v>
      </c>
      <c r="U76" s="1">
        <f>VLOOKUP(B76,'App 5 - Organics'!$B$5:$T$132,19,FALSE)</f>
        <v>0</v>
      </c>
      <c r="V76" s="460"/>
      <c r="W76" s="1">
        <v>75</v>
      </c>
      <c r="X76" s="1">
        <v>0</v>
      </c>
      <c r="Y76" s="1">
        <v>75</v>
      </c>
      <c r="Z76" s="460"/>
      <c r="AA76" s="462">
        <f t="shared" si="8"/>
        <v>596</v>
      </c>
      <c r="AB76" s="460"/>
      <c r="AC76" s="463">
        <f t="shared" si="6"/>
        <v>600</v>
      </c>
      <c r="AD76" s="463">
        <f t="shared" si="6"/>
        <v>5</v>
      </c>
      <c r="AE76" s="463">
        <f t="shared" si="6"/>
        <v>595</v>
      </c>
      <c r="AF76" s="463">
        <f t="shared" si="9"/>
        <v>1</v>
      </c>
      <c r="AG76" s="463">
        <f t="shared" si="9"/>
        <v>0</v>
      </c>
      <c r="AH76" s="4"/>
      <c r="AI76" s="227">
        <v>0</v>
      </c>
      <c r="AJ76" s="227">
        <v>0</v>
      </c>
      <c r="AK76" s="227">
        <v>0</v>
      </c>
    </row>
    <row r="77" spans="1:37" x14ac:dyDescent="0.2">
      <c r="A77" s="8">
        <v>15050</v>
      </c>
      <c r="B77" s="8" t="s">
        <v>129</v>
      </c>
      <c r="C77" s="8" t="s">
        <v>23</v>
      </c>
      <c r="D77" s="29" t="s">
        <v>2</v>
      </c>
      <c r="E77" s="323"/>
      <c r="F77" s="1">
        <v>24870.78</v>
      </c>
      <c r="G77" s="1">
        <v>0</v>
      </c>
      <c r="H77" s="1">
        <f t="shared" si="7"/>
        <v>24870.78</v>
      </c>
      <c r="I77" s="460"/>
      <c r="J77" s="1">
        <f>VLOOKUP(B77,'App 4 - Recyclables'!$B$6:$H$133,7,FALSE)</f>
        <v>488.29</v>
      </c>
      <c r="K77" s="1">
        <f>VLOOKUP(B77,'App 5 - Organics'!$B$5:$AB$132,27,FALSE)</f>
        <v>13.43</v>
      </c>
      <c r="L77" s="461"/>
      <c r="M77" s="1">
        <f>VLOOKUP(B77,'App 4 - Recyclables'!$B$6:$P$133,15,FALSE)</f>
        <v>0</v>
      </c>
      <c r="N77" s="1">
        <f>VLOOKUP(B77,'App 5 - Organics'!$B$5:$P$132,15,FALSE)</f>
        <v>0</v>
      </c>
      <c r="O77" s="460"/>
      <c r="P77" s="1">
        <v>6817.34</v>
      </c>
      <c r="Q77" s="1">
        <v>199.76000000000022</v>
      </c>
      <c r="R77" s="1">
        <v>6617.58</v>
      </c>
      <c r="S77" s="460"/>
      <c r="T77" s="1">
        <f>VLOOKUP(B77,'App 4 - Recyclables'!$B$6:$T$133,19,FALSE)</f>
        <v>0</v>
      </c>
      <c r="U77" s="1">
        <f>VLOOKUP(B77,'App 5 - Organics'!$B$5:$T$132,19,FALSE)</f>
        <v>0</v>
      </c>
      <c r="V77" s="460"/>
      <c r="W77" s="1">
        <v>114.42</v>
      </c>
      <c r="X77" s="1">
        <v>60.38</v>
      </c>
      <c r="Y77" s="1">
        <v>54.04</v>
      </c>
      <c r="Z77" s="460"/>
      <c r="AA77" s="462">
        <f t="shared" si="8"/>
        <v>32044.120000000003</v>
      </c>
      <c r="AB77" s="460"/>
      <c r="AC77" s="463">
        <f t="shared" si="6"/>
        <v>31802.539999999997</v>
      </c>
      <c r="AD77" s="463">
        <f t="shared" si="6"/>
        <v>260.14000000000021</v>
      </c>
      <c r="AE77" s="463">
        <f t="shared" si="6"/>
        <v>31542.400000000001</v>
      </c>
      <c r="AF77" s="463">
        <f t="shared" si="9"/>
        <v>488.29</v>
      </c>
      <c r="AG77" s="463">
        <f t="shared" si="9"/>
        <v>13.43</v>
      </c>
      <c r="AH77" s="4"/>
      <c r="AI77" s="227">
        <v>3832.24</v>
      </c>
      <c r="AJ77" s="227">
        <v>0</v>
      </c>
      <c r="AK77" s="227">
        <v>3832.24</v>
      </c>
    </row>
    <row r="78" spans="1:37" x14ac:dyDescent="0.2">
      <c r="A78" s="8">
        <v>15240</v>
      </c>
      <c r="B78" s="8" t="s">
        <v>130</v>
      </c>
      <c r="C78" s="8" t="s">
        <v>39</v>
      </c>
      <c r="D78" s="29" t="s">
        <v>3</v>
      </c>
      <c r="E78" s="323"/>
      <c r="F78" s="1">
        <v>21935.18</v>
      </c>
      <c r="G78" s="1">
        <v>0</v>
      </c>
      <c r="H78" s="1">
        <f t="shared" si="7"/>
        <v>21935.18</v>
      </c>
      <c r="I78" s="460"/>
      <c r="J78" s="1">
        <f>VLOOKUP(B78,'App 4 - Recyclables'!$B$6:$H$133,7,FALSE)</f>
        <v>567.1</v>
      </c>
      <c r="K78" s="1">
        <f>VLOOKUP(B78,'App 5 - Organics'!$B$5:$AB$132,27,FALSE)</f>
        <v>0</v>
      </c>
      <c r="L78" s="461"/>
      <c r="M78" s="1">
        <f>VLOOKUP(B78,'App 4 - Recyclables'!$B$6:$P$133,15,FALSE)</f>
        <v>0</v>
      </c>
      <c r="N78" s="1">
        <f>VLOOKUP(B78,'App 5 - Organics'!$B$5:$P$132,15,FALSE)</f>
        <v>0</v>
      </c>
      <c r="O78" s="460"/>
      <c r="P78" s="1">
        <v>0</v>
      </c>
      <c r="Q78" s="1">
        <v>0</v>
      </c>
      <c r="R78" s="1">
        <v>0</v>
      </c>
      <c r="S78" s="460"/>
      <c r="T78" s="1">
        <f>VLOOKUP(B78,'App 4 - Recyclables'!$B$6:$T$133,19,FALSE)</f>
        <v>0</v>
      </c>
      <c r="U78" s="1">
        <f>VLOOKUP(B78,'App 5 - Organics'!$B$5:$T$132,19,FALSE)</f>
        <v>0</v>
      </c>
      <c r="V78" s="460"/>
      <c r="W78" s="1">
        <v>1458.24</v>
      </c>
      <c r="X78" s="1">
        <v>0</v>
      </c>
      <c r="Y78" s="1">
        <v>1458.24</v>
      </c>
      <c r="Z78" s="460"/>
      <c r="AA78" s="462">
        <f t="shared" si="8"/>
        <v>23960.52</v>
      </c>
      <c r="AB78" s="460"/>
      <c r="AC78" s="463">
        <f t="shared" si="6"/>
        <v>23393.420000000002</v>
      </c>
      <c r="AD78" s="463">
        <f t="shared" si="6"/>
        <v>0</v>
      </c>
      <c r="AE78" s="463">
        <f t="shared" si="6"/>
        <v>23393.420000000002</v>
      </c>
      <c r="AF78" s="463">
        <f t="shared" si="9"/>
        <v>567.1</v>
      </c>
      <c r="AG78" s="463">
        <f t="shared" si="9"/>
        <v>0</v>
      </c>
      <c r="AH78" s="4"/>
      <c r="AI78" s="227">
        <v>0</v>
      </c>
      <c r="AJ78" s="227">
        <v>0</v>
      </c>
      <c r="AK78" s="227">
        <v>0</v>
      </c>
    </row>
    <row r="79" spans="1:37" x14ac:dyDescent="0.2">
      <c r="A79" s="8">
        <v>15270</v>
      </c>
      <c r="B79" s="8" t="s">
        <v>131</v>
      </c>
      <c r="C79" s="8" t="s">
        <v>38</v>
      </c>
      <c r="D79" s="29" t="s">
        <v>1</v>
      </c>
      <c r="E79" s="323"/>
      <c r="F79" s="1">
        <v>3754.32</v>
      </c>
      <c r="G79" s="1">
        <v>0</v>
      </c>
      <c r="H79" s="1">
        <f t="shared" si="7"/>
        <v>3754.32</v>
      </c>
      <c r="I79" s="460"/>
      <c r="J79" s="1">
        <f>VLOOKUP(B79,'App 4 - Recyclables'!$B$6:$H$133,7,FALSE)</f>
        <v>533.16</v>
      </c>
      <c r="K79" s="1">
        <f>VLOOKUP(B79,'App 5 - Organics'!$B$5:$AB$132,27,FALSE)</f>
        <v>0</v>
      </c>
      <c r="L79" s="461"/>
      <c r="M79" s="1">
        <f>VLOOKUP(B79,'App 4 - Recyclables'!$B$6:$P$133,15,FALSE)</f>
        <v>0</v>
      </c>
      <c r="N79" s="1">
        <f>VLOOKUP(B79,'App 5 - Organics'!$B$5:$P$132,15,FALSE)</f>
        <v>0</v>
      </c>
      <c r="O79" s="460"/>
      <c r="P79" s="1">
        <v>6646.79</v>
      </c>
      <c r="Q79" s="1">
        <v>14.0600000000004</v>
      </c>
      <c r="R79" s="1">
        <v>6632.73</v>
      </c>
      <c r="S79" s="460"/>
      <c r="T79" s="1">
        <f>VLOOKUP(B79,'App 4 - Recyclables'!$B$6:$T$133,19,FALSE)</f>
        <v>0</v>
      </c>
      <c r="U79" s="1">
        <f>VLOOKUP(B79,'App 5 - Organics'!$B$5:$T$132,19,FALSE)</f>
        <v>0</v>
      </c>
      <c r="V79" s="460"/>
      <c r="W79" s="1">
        <v>0</v>
      </c>
      <c r="X79" s="1">
        <v>0</v>
      </c>
      <c r="Y79" s="1">
        <v>0</v>
      </c>
      <c r="Z79" s="460"/>
      <c r="AA79" s="462">
        <f t="shared" si="8"/>
        <v>10920.21</v>
      </c>
      <c r="AB79" s="460"/>
      <c r="AC79" s="463">
        <f t="shared" si="6"/>
        <v>10401.11</v>
      </c>
      <c r="AD79" s="463">
        <f t="shared" si="6"/>
        <v>14.0600000000004</v>
      </c>
      <c r="AE79" s="463">
        <f t="shared" si="6"/>
        <v>10387.049999999999</v>
      </c>
      <c r="AF79" s="463">
        <f t="shared" si="9"/>
        <v>533.16</v>
      </c>
      <c r="AG79" s="463">
        <f t="shared" si="9"/>
        <v>0</v>
      </c>
      <c r="AH79" s="4"/>
      <c r="AI79" s="227">
        <v>655.6</v>
      </c>
      <c r="AJ79" s="227">
        <v>0</v>
      </c>
      <c r="AK79" s="227">
        <v>655.6</v>
      </c>
    </row>
    <row r="80" spans="1:37" x14ac:dyDescent="0.2">
      <c r="A80" s="8">
        <v>15300</v>
      </c>
      <c r="B80" s="8" t="s">
        <v>132</v>
      </c>
      <c r="C80" s="8" t="s">
        <v>16</v>
      </c>
      <c r="D80" s="29" t="s">
        <v>1</v>
      </c>
      <c r="E80" s="323"/>
      <c r="F80" s="1">
        <v>2562.09</v>
      </c>
      <c r="G80" s="1">
        <v>0</v>
      </c>
      <c r="H80" s="1">
        <f t="shared" si="7"/>
        <v>2562.09</v>
      </c>
      <c r="I80" s="460"/>
      <c r="J80" s="1">
        <f>VLOOKUP(B80,'App 4 - Recyclables'!$B$6:$H$133,7,FALSE)</f>
        <v>1.22</v>
      </c>
      <c r="K80" s="1">
        <f>VLOOKUP(B80,'App 5 - Organics'!$B$5:$AB$132,27,FALSE)</f>
        <v>113.12</v>
      </c>
      <c r="L80" s="461"/>
      <c r="M80" s="1">
        <f>VLOOKUP(B80,'App 4 - Recyclables'!$B$6:$P$133,15,FALSE)</f>
        <v>0</v>
      </c>
      <c r="N80" s="1">
        <f>VLOOKUP(B80,'App 5 - Organics'!$B$5:$P$132,15,FALSE)</f>
        <v>0</v>
      </c>
      <c r="O80" s="460"/>
      <c r="P80" s="1">
        <v>0</v>
      </c>
      <c r="Q80" s="1">
        <v>0</v>
      </c>
      <c r="R80" s="1">
        <v>0</v>
      </c>
      <c r="S80" s="460"/>
      <c r="T80" s="1">
        <f>VLOOKUP(B80,'App 4 - Recyclables'!$B$6:$T$133,19,FALSE)</f>
        <v>0</v>
      </c>
      <c r="U80" s="1">
        <f>VLOOKUP(B80,'App 5 - Organics'!$B$5:$T$132,19,FALSE)</f>
        <v>0</v>
      </c>
      <c r="V80" s="460"/>
      <c r="W80" s="1">
        <v>88.32</v>
      </c>
      <c r="X80" s="1">
        <v>0</v>
      </c>
      <c r="Y80" s="1">
        <v>88.32</v>
      </c>
      <c r="Z80" s="460"/>
      <c r="AA80" s="462">
        <f t="shared" si="8"/>
        <v>2764.75</v>
      </c>
      <c r="AB80" s="460"/>
      <c r="AC80" s="463">
        <f t="shared" si="6"/>
        <v>2650.4100000000003</v>
      </c>
      <c r="AD80" s="463">
        <f t="shared" si="6"/>
        <v>0</v>
      </c>
      <c r="AE80" s="463">
        <f t="shared" si="6"/>
        <v>2650.4100000000003</v>
      </c>
      <c r="AF80" s="463">
        <f t="shared" si="9"/>
        <v>1.22</v>
      </c>
      <c r="AG80" s="463">
        <f t="shared" si="9"/>
        <v>113.12</v>
      </c>
      <c r="AH80" s="4"/>
      <c r="AI80" s="227">
        <v>2314</v>
      </c>
      <c r="AJ80" s="227">
        <v>783</v>
      </c>
      <c r="AK80" s="227">
        <v>1531</v>
      </c>
    </row>
    <row r="81" spans="1:42" x14ac:dyDescent="0.2">
      <c r="A81" s="8">
        <v>15350</v>
      </c>
      <c r="B81" s="8" t="s">
        <v>133</v>
      </c>
      <c r="C81" s="8" t="s">
        <v>24</v>
      </c>
      <c r="D81" s="29" t="s">
        <v>2</v>
      </c>
      <c r="E81" s="323"/>
      <c r="F81" s="1">
        <v>5907</v>
      </c>
      <c r="G81" s="1">
        <v>0</v>
      </c>
      <c r="H81" s="1">
        <f t="shared" si="7"/>
        <v>5907</v>
      </c>
      <c r="I81" s="460"/>
      <c r="J81" s="1">
        <f>VLOOKUP(B81,'App 4 - Recyclables'!$B$6:$H$133,7,FALSE)</f>
        <v>0</v>
      </c>
      <c r="K81" s="1">
        <f>VLOOKUP(B81,'App 5 - Organics'!$B$5:$AB$132,27,FALSE)</f>
        <v>0</v>
      </c>
      <c r="L81" s="461"/>
      <c r="M81" s="1">
        <f>VLOOKUP(B81,'App 4 - Recyclables'!$B$6:$P$133,15,FALSE)</f>
        <v>0</v>
      </c>
      <c r="N81" s="1">
        <f>VLOOKUP(B81,'App 5 - Organics'!$B$5:$P$132,15,FALSE)</f>
        <v>0</v>
      </c>
      <c r="O81" s="460"/>
      <c r="P81" s="1">
        <v>0</v>
      </c>
      <c r="Q81" s="1">
        <v>0</v>
      </c>
      <c r="R81" s="1">
        <v>0</v>
      </c>
      <c r="S81" s="460"/>
      <c r="T81" s="1">
        <f>VLOOKUP(B81,'App 4 - Recyclables'!$B$6:$T$133,19,FALSE)</f>
        <v>0</v>
      </c>
      <c r="U81" s="1">
        <f>VLOOKUP(B81,'App 5 - Organics'!$B$5:$T$132,19,FALSE)</f>
        <v>0</v>
      </c>
      <c r="V81" s="460"/>
      <c r="W81" s="1">
        <v>552</v>
      </c>
      <c r="X81" s="1">
        <v>0</v>
      </c>
      <c r="Y81" s="1">
        <v>552</v>
      </c>
      <c r="Z81" s="460"/>
      <c r="AA81" s="462">
        <f t="shared" si="8"/>
        <v>6459</v>
      </c>
      <c r="AB81" s="460"/>
      <c r="AC81" s="463">
        <f t="shared" si="6"/>
        <v>6459</v>
      </c>
      <c r="AD81" s="463">
        <f t="shared" si="6"/>
        <v>0</v>
      </c>
      <c r="AE81" s="463">
        <f t="shared" si="6"/>
        <v>6459</v>
      </c>
      <c r="AF81" s="463">
        <f t="shared" si="9"/>
        <v>0</v>
      </c>
      <c r="AG81" s="463">
        <f t="shared" si="9"/>
        <v>0</v>
      </c>
      <c r="AH81" s="4"/>
      <c r="AI81" s="227">
        <v>35</v>
      </c>
      <c r="AJ81" s="227">
        <v>0</v>
      </c>
      <c r="AK81" s="227">
        <v>35</v>
      </c>
    </row>
    <row r="82" spans="1:42" x14ac:dyDescent="0.2">
      <c r="A82" s="8">
        <v>15520</v>
      </c>
      <c r="B82" s="8" t="s">
        <v>134</v>
      </c>
      <c r="C82" s="8" t="s">
        <v>66</v>
      </c>
      <c r="D82" s="29" t="s">
        <v>1</v>
      </c>
      <c r="E82" s="323"/>
      <c r="F82" s="1">
        <v>2388</v>
      </c>
      <c r="G82" s="1">
        <v>0</v>
      </c>
      <c r="H82" s="1">
        <f t="shared" si="7"/>
        <v>2388</v>
      </c>
      <c r="I82" s="460"/>
      <c r="J82" s="1">
        <f>VLOOKUP(B82,'App 4 - Recyclables'!$B$6:$H$133,7,FALSE)</f>
        <v>0</v>
      </c>
      <c r="K82" s="1">
        <f>VLOOKUP(B82,'App 5 - Organics'!$B$5:$AB$132,27,FALSE)</f>
        <v>0</v>
      </c>
      <c r="L82" s="461"/>
      <c r="M82" s="1">
        <f>VLOOKUP(B82,'App 4 - Recyclables'!$B$6:$P$133,15,FALSE)</f>
        <v>0</v>
      </c>
      <c r="N82" s="1">
        <f>VLOOKUP(B82,'App 5 - Organics'!$B$5:$P$132,15,FALSE)</f>
        <v>0</v>
      </c>
      <c r="O82" s="460"/>
      <c r="P82" s="1">
        <v>0</v>
      </c>
      <c r="Q82" s="1">
        <v>0</v>
      </c>
      <c r="R82" s="1">
        <v>0</v>
      </c>
      <c r="S82" s="460"/>
      <c r="T82" s="1">
        <f>VLOOKUP(B82,'App 4 - Recyclables'!$B$6:$T$133,19,FALSE)</f>
        <v>0</v>
      </c>
      <c r="U82" s="1">
        <f>VLOOKUP(B82,'App 5 - Organics'!$B$5:$T$132,19,FALSE)</f>
        <v>0</v>
      </c>
      <c r="V82" s="460"/>
      <c r="W82" s="1">
        <v>0</v>
      </c>
      <c r="X82" s="1">
        <v>0</v>
      </c>
      <c r="Y82" s="1">
        <v>0</v>
      </c>
      <c r="Z82" s="460"/>
      <c r="AA82" s="462">
        <f t="shared" si="8"/>
        <v>2388</v>
      </c>
      <c r="AB82" s="460"/>
      <c r="AC82" s="463">
        <f t="shared" si="6"/>
        <v>2388</v>
      </c>
      <c r="AD82" s="463">
        <f t="shared" si="6"/>
        <v>0</v>
      </c>
      <c r="AE82" s="463">
        <f t="shared" si="6"/>
        <v>2388</v>
      </c>
      <c r="AF82" s="463">
        <f t="shared" si="9"/>
        <v>0</v>
      </c>
      <c r="AG82" s="463">
        <f t="shared" si="9"/>
        <v>0</v>
      </c>
      <c r="AH82" s="4"/>
      <c r="AI82" s="227">
        <v>0</v>
      </c>
      <c r="AJ82" s="227">
        <v>0</v>
      </c>
      <c r="AK82" s="227">
        <v>0</v>
      </c>
    </row>
    <row r="83" spans="1:42" x14ac:dyDescent="0.2">
      <c r="A83" s="8">
        <v>15560</v>
      </c>
      <c r="B83" s="8" t="s">
        <v>135</v>
      </c>
      <c r="C83" s="8" t="s">
        <v>68</v>
      </c>
      <c r="D83" s="29" t="s">
        <v>1</v>
      </c>
      <c r="E83" s="323"/>
      <c r="F83" s="1">
        <v>650</v>
      </c>
      <c r="G83" s="1">
        <v>0</v>
      </c>
      <c r="H83" s="1">
        <f t="shared" si="7"/>
        <v>650</v>
      </c>
      <c r="I83" s="460"/>
      <c r="J83" s="1">
        <f>VLOOKUP(B83,'App 4 - Recyclables'!$B$6:$H$133,7,FALSE)</f>
        <v>4.5</v>
      </c>
      <c r="K83" s="1">
        <f>VLOOKUP(B83,'App 5 - Organics'!$B$5:$AB$132,27,FALSE)</f>
        <v>0</v>
      </c>
      <c r="L83" s="461"/>
      <c r="M83" s="1">
        <f>VLOOKUP(B83,'App 4 - Recyclables'!$B$6:$P$133,15,FALSE)</f>
        <v>0</v>
      </c>
      <c r="N83" s="1">
        <f>VLOOKUP(B83,'App 5 - Organics'!$B$5:$P$132,15,FALSE)</f>
        <v>250</v>
      </c>
      <c r="O83" s="460"/>
      <c r="P83" s="1">
        <v>315</v>
      </c>
      <c r="Q83" s="1">
        <v>315</v>
      </c>
      <c r="R83" s="1">
        <v>0</v>
      </c>
      <c r="S83" s="460"/>
      <c r="T83" s="1">
        <f>VLOOKUP(B83,'App 4 - Recyclables'!$B$6:$T$133,19,FALSE)</f>
        <v>31</v>
      </c>
      <c r="U83" s="1">
        <f>VLOOKUP(B83,'App 5 - Organics'!$B$5:$T$132,19,FALSE)</f>
        <v>1.5</v>
      </c>
      <c r="V83" s="460"/>
      <c r="W83" s="1">
        <v>17</v>
      </c>
      <c r="X83" s="1">
        <v>0</v>
      </c>
      <c r="Y83" s="1">
        <v>17</v>
      </c>
      <c r="Z83" s="460"/>
      <c r="AA83" s="462">
        <f t="shared" si="8"/>
        <v>954</v>
      </c>
      <c r="AB83" s="460"/>
      <c r="AC83" s="463">
        <f t="shared" si="6"/>
        <v>982</v>
      </c>
      <c r="AD83" s="463">
        <f t="shared" si="6"/>
        <v>315</v>
      </c>
      <c r="AE83" s="463">
        <f t="shared" si="6"/>
        <v>667</v>
      </c>
      <c r="AF83" s="463">
        <f t="shared" si="9"/>
        <v>35.5</v>
      </c>
      <c r="AG83" s="463">
        <f t="shared" si="9"/>
        <v>251.5</v>
      </c>
      <c r="AH83" s="4"/>
      <c r="AI83" s="227">
        <v>0</v>
      </c>
      <c r="AJ83" s="227">
        <v>0</v>
      </c>
      <c r="AK83" s="227">
        <v>0</v>
      </c>
    </row>
    <row r="84" spans="1:42" x14ac:dyDescent="0.2">
      <c r="A84" s="8">
        <v>15650</v>
      </c>
      <c r="B84" s="8" t="s">
        <v>136</v>
      </c>
      <c r="C84" s="8" t="s">
        <v>23</v>
      </c>
      <c r="D84" s="29" t="s">
        <v>3</v>
      </c>
      <c r="E84" s="323"/>
      <c r="F84" s="1">
        <v>3407.44</v>
      </c>
      <c r="G84" s="1">
        <v>0</v>
      </c>
      <c r="H84" s="1">
        <f t="shared" si="7"/>
        <v>3407.44</v>
      </c>
      <c r="I84" s="460"/>
      <c r="J84" s="1">
        <f>VLOOKUP(B84,'App 4 - Recyclables'!$B$6:$H$133,7,FALSE)</f>
        <v>111.07</v>
      </c>
      <c r="K84" s="1">
        <f>VLOOKUP(B84,'App 5 - Organics'!$B$5:$AB$132,27,FALSE)</f>
        <v>77.59</v>
      </c>
      <c r="L84" s="461"/>
      <c r="M84" s="1">
        <f>VLOOKUP(B84,'App 4 - Recyclables'!$B$6:$P$133,15,FALSE)</f>
        <v>1.06</v>
      </c>
      <c r="N84" s="1">
        <f>VLOOKUP(B84,'App 5 - Organics'!$B$5:$P$132,15,FALSE)</f>
        <v>0.92</v>
      </c>
      <c r="O84" s="460"/>
      <c r="P84" s="1">
        <v>1081.74</v>
      </c>
      <c r="Q84" s="1">
        <v>147</v>
      </c>
      <c r="R84" s="1">
        <v>934.74</v>
      </c>
      <c r="S84" s="460"/>
      <c r="T84" s="1">
        <f>VLOOKUP(B84,'App 4 - Recyclables'!$B$6:$T$133,19,FALSE)</f>
        <v>0</v>
      </c>
      <c r="U84" s="1">
        <f>VLOOKUP(B84,'App 5 - Organics'!$B$5:$T$132,19,FALSE)</f>
        <v>0</v>
      </c>
      <c r="V84" s="460"/>
      <c r="W84" s="1">
        <v>508.3</v>
      </c>
      <c r="X84" s="1">
        <v>0</v>
      </c>
      <c r="Y84" s="1">
        <v>508.3</v>
      </c>
      <c r="Z84" s="460"/>
      <c r="AA84" s="462">
        <f t="shared" si="8"/>
        <v>5041.1200000000008</v>
      </c>
      <c r="AB84" s="460"/>
      <c r="AC84" s="463">
        <f t="shared" si="6"/>
        <v>4997.4800000000005</v>
      </c>
      <c r="AD84" s="463">
        <f t="shared" si="6"/>
        <v>147</v>
      </c>
      <c r="AE84" s="463">
        <f t="shared" si="6"/>
        <v>4850.4800000000005</v>
      </c>
      <c r="AF84" s="463">
        <f t="shared" si="9"/>
        <v>112.13</v>
      </c>
      <c r="AG84" s="463">
        <f t="shared" si="9"/>
        <v>78.510000000000005</v>
      </c>
      <c r="AH84" s="4"/>
      <c r="AI84" s="227">
        <v>1638.54</v>
      </c>
      <c r="AJ84" s="227">
        <v>0</v>
      </c>
      <c r="AK84" s="227">
        <v>1638.54</v>
      </c>
    </row>
    <row r="85" spans="1:42" x14ac:dyDescent="0.2">
      <c r="A85" s="8">
        <v>15700</v>
      </c>
      <c r="B85" s="8" t="s">
        <v>54</v>
      </c>
      <c r="C85" s="8" t="s">
        <v>39</v>
      </c>
      <c r="D85" s="29" t="s">
        <v>3</v>
      </c>
      <c r="E85" s="323"/>
      <c r="F85" s="1">
        <v>3335</v>
      </c>
      <c r="G85" s="1">
        <v>0</v>
      </c>
      <c r="H85" s="1">
        <f t="shared" si="7"/>
        <v>3335</v>
      </c>
      <c r="I85" s="460"/>
      <c r="J85" s="1">
        <f>VLOOKUP(B85,'App 4 - Recyclables'!$B$6:$H$133,7,FALSE)</f>
        <v>0</v>
      </c>
      <c r="K85" s="1">
        <f>VLOOKUP(B85,'App 5 - Organics'!$B$5:$AB$132,27,FALSE)</f>
        <v>0</v>
      </c>
      <c r="L85" s="461"/>
      <c r="M85" s="1">
        <f>VLOOKUP(B85,'App 4 - Recyclables'!$B$6:$P$133,15,FALSE)</f>
        <v>0</v>
      </c>
      <c r="N85" s="1">
        <f>VLOOKUP(B85,'App 5 - Organics'!$B$5:$P$132,15,FALSE)</f>
        <v>0</v>
      </c>
      <c r="O85" s="460"/>
      <c r="P85" s="1">
        <v>0</v>
      </c>
      <c r="Q85" s="1">
        <v>0</v>
      </c>
      <c r="R85" s="1">
        <v>0</v>
      </c>
      <c r="S85" s="460"/>
      <c r="T85" s="1">
        <f>VLOOKUP(B85,'App 4 - Recyclables'!$B$6:$T$133,19,FALSE)</f>
        <v>0</v>
      </c>
      <c r="U85" s="1">
        <f>VLOOKUP(B85,'App 5 - Organics'!$B$5:$T$132,19,FALSE)</f>
        <v>0</v>
      </c>
      <c r="V85" s="460"/>
      <c r="W85" s="1">
        <v>590</v>
      </c>
      <c r="X85" s="1">
        <v>0</v>
      </c>
      <c r="Y85" s="1">
        <v>590</v>
      </c>
      <c r="Z85" s="460"/>
      <c r="AA85" s="462">
        <f t="shared" si="8"/>
        <v>3925</v>
      </c>
      <c r="AB85" s="460"/>
      <c r="AC85" s="463">
        <f t="shared" si="6"/>
        <v>3925</v>
      </c>
      <c r="AD85" s="463">
        <f t="shared" si="6"/>
        <v>0</v>
      </c>
      <c r="AE85" s="463">
        <f t="shared" si="6"/>
        <v>3925</v>
      </c>
      <c r="AF85" s="463">
        <f t="shared" si="9"/>
        <v>0</v>
      </c>
      <c r="AG85" s="463">
        <f t="shared" si="9"/>
        <v>0</v>
      </c>
      <c r="AH85" s="4"/>
      <c r="AI85" s="227">
        <v>0</v>
      </c>
      <c r="AJ85" s="227">
        <v>0</v>
      </c>
      <c r="AK85" s="227">
        <v>0</v>
      </c>
    </row>
    <row r="86" spans="1:42" x14ac:dyDescent="0.2">
      <c r="A86" s="8">
        <v>15750</v>
      </c>
      <c r="B86" s="8" t="s">
        <v>137</v>
      </c>
      <c r="C86" s="8" t="s">
        <v>16</v>
      </c>
      <c r="D86" s="29" t="s">
        <v>1</v>
      </c>
      <c r="E86" s="323"/>
      <c r="F86" s="1">
        <v>2373.94</v>
      </c>
      <c r="G86" s="1">
        <v>0</v>
      </c>
      <c r="H86" s="1">
        <f t="shared" si="7"/>
        <v>2373.94</v>
      </c>
      <c r="I86" s="460"/>
      <c r="J86" s="1">
        <f>VLOOKUP(B86,'App 4 - Recyclables'!$B$6:$H$133,7,FALSE)</f>
        <v>0</v>
      </c>
      <c r="K86" s="1">
        <f>VLOOKUP(B86,'App 5 - Organics'!$B$5:$AB$132,27,FALSE)</f>
        <v>0</v>
      </c>
      <c r="L86" s="461"/>
      <c r="M86" s="1">
        <f>VLOOKUP(B86,'App 4 - Recyclables'!$B$6:$P$133,15,FALSE)</f>
        <v>0</v>
      </c>
      <c r="N86" s="1">
        <f>VLOOKUP(B86,'App 5 - Organics'!$B$5:$P$132,15,FALSE)</f>
        <v>0</v>
      </c>
      <c r="O86" s="460"/>
      <c r="P86" s="1">
        <v>2259.67</v>
      </c>
      <c r="Q86" s="1">
        <v>372.67000000000007</v>
      </c>
      <c r="R86" s="1">
        <v>1887</v>
      </c>
      <c r="S86" s="460"/>
      <c r="T86" s="1">
        <f>VLOOKUP(B86,'App 4 - Recyclables'!$B$6:$T$133,19,FALSE)</f>
        <v>0</v>
      </c>
      <c r="U86" s="1">
        <f>VLOOKUP(B86,'App 5 - Organics'!$B$5:$T$132,19,FALSE)</f>
        <v>0</v>
      </c>
      <c r="V86" s="460"/>
      <c r="W86" s="1">
        <v>23.02</v>
      </c>
      <c r="X86" s="1">
        <v>0</v>
      </c>
      <c r="Y86" s="1">
        <v>23.02</v>
      </c>
      <c r="Z86" s="460"/>
      <c r="AA86" s="462">
        <f t="shared" si="8"/>
        <v>4283.9600000000009</v>
      </c>
      <c r="AB86" s="460"/>
      <c r="AC86" s="463">
        <f t="shared" si="6"/>
        <v>4656.630000000001</v>
      </c>
      <c r="AD86" s="463">
        <f t="shared" si="6"/>
        <v>372.67000000000007</v>
      </c>
      <c r="AE86" s="463">
        <f t="shared" si="6"/>
        <v>4283.9600000000009</v>
      </c>
      <c r="AF86" s="463">
        <f t="shared" si="9"/>
        <v>0</v>
      </c>
      <c r="AG86" s="463">
        <f t="shared" si="9"/>
        <v>0</v>
      </c>
      <c r="AH86" s="4"/>
      <c r="AI86" s="227">
        <v>0</v>
      </c>
      <c r="AJ86" s="227">
        <v>0</v>
      </c>
      <c r="AK86" s="227">
        <v>0</v>
      </c>
    </row>
    <row r="87" spans="1:42" x14ac:dyDescent="0.2">
      <c r="A87" s="8">
        <v>15800</v>
      </c>
      <c r="B87" s="8" t="s">
        <v>138</v>
      </c>
      <c r="C87" s="8" t="s">
        <v>68</v>
      </c>
      <c r="D87" s="29" t="s">
        <v>1</v>
      </c>
      <c r="E87" s="323"/>
      <c r="F87" s="1">
        <v>2678</v>
      </c>
      <c r="G87" s="1">
        <v>0</v>
      </c>
      <c r="H87" s="1">
        <f t="shared" si="7"/>
        <v>2678</v>
      </c>
      <c r="I87" s="460"/>
      <c r="J87" s="1">
        <f>VLOOKUP(B87,'App 4 - Recyclables'!$B$6:$H$133,7,FALSE)</f>
        <v>0</v>
      </c>
      <c r="K87" s="1">
        <f>VLOOKUP(B87,'App 5 - Organics'!$B$5:$AB$132,27,FALSE)</f>
        <v>0</v>
      </c>
      <c r="L87" s="461"/>
      <c r="M87" s="1">
        <f>VLOOKUP(B87,'App 4 - Recyclables'!$B$6:$P$133,15,FALSE)</f>
        <v>0</v>
      </c>
      <c r="N87" s="1">
        <f>VLOOKUP(B87,'App 5 - Organics'!$B$5:$P$132,15,FALSE)</f>
        <v>0</v>
      </c>
      <c r="O87" s="460"/>
      <c r="P87" s="1">
        <v>0</v>
      </c>
      <c r="Q87" s="1">
        <v>0</v>
      </c>
      <c r="R87" s="1">
        <v>0</v>
      </c>
      <c r="S87" s="460"/>
      <c r="T87" s="1">
        <f>VLOOKUP(B87,'App 4 - Recyclables'!$B$6:$T$133,19,FALSE)</f>
        <v>0</v>
      </c>
      <c r="U87" s="1">
        <f>VLOOKUP(B87,'App 5 - Organics'!$B$5:$T$132,19,FALSE)</f>
        <v>0</v>
      </c>
      <c r="V87" s="460"/>
      <c r="W87" s="1">
        <v>0</v>
      </c>
      <c r="X87" s="1">
        <v>0</v>
      </c>
      <c r="Y87" s="1">
        <v>0</v>
      </c>
      <c r="Z87" s="460"/>
      <c r="AA87" s="462">
        <f t="shared" si="8"/>
        <v>2678</v>
      </c>
      <c r="AB87" s="460"/>
      <c r="AC87" s="463">
        <f t="shared" si="6"/>
        <v>2678</v>
      </c>
      <c r="AD87" s="463">
        <f t="shared" si="6"/>
        <v>0</v>
      </c>
      <c r="AE87" s="463">
        <f t="shared" si="6"/>
        <v>2678</v>
      </c>
      <c r="AF87" s="463">
        <f t="shared" si="9"/>
        <v>0</v>
      </c>
      <c r="AG87" s="463">
        <f t="shared" si="9"/>
        <v>0</v>
      </c>
      <c r="AH87" s="4"/>
      <c r="AI87" s="227">
        <v>0</v>
      </c>
      <c r="AJ87" s="227">
        <v>0</v>
      </c>
      <c r="AK87" s="227">
        <v>0</v>
      </c>
    </row>
    <row r="88" spans="1:42" x14ac:dyDescent="0.2">
      <c r="A88" s="8">
        <v>15850</v>
      </c>
      <c r="B88" s="8" t="s">
        <v>139</v>
      </c>
      <c r="C88" s="8" t="s">
        <v>38</v>
      </c>
      <c r="D88" s="29" t="s">
        <v>1</v>
      </c>
      <c r="E88" s="323"/>
      <c r="F88" s="1">
        <v>1304.44</v>
      </c>
      <c r="G88" s="1">
        <v>0</v>
      </c>
      <c r="H88" s="1">
        <f t="shared" si="7"/>
        <v>1304.44</v>
      </c>
      <c r="I88" s="460"/>
      <c r="J88" s="1">
        <f>VLOOKUP(B88,'App 4 - Recyclables'!$B$6:$H$133,7,FALSE)</f>
        <v>0</v>
      </c>
      <c r="K88" s="1">
        <f>VLOOKUP(B88,'App 5 - Organics'!$B$5:$AB$132,27,FALSE)</f>
        <v>0</v>
      </c>
      <c r="L88" s="461"/>
      <c r="M88" s="1">
        <f>VLOOKUP(B88,'App 4 - Recyclables'!$B$6:$P$133,15,FALSE)</f>
        <v>0</v>
      </c>
      <c r="N88" s="1">
        <f>VLOOKUP(B88,'App 5 - Organics'!$B$5:$P$132,15,FALSE)</f>
        <v>0</v>
      </c>
      <c r="O88" s="460"/>
      <c r="P88" s="1">
        <v>0</v>
      </c>
      <c r="Q88" s="1">
        <v>0</v>
      </c>
      <c r="R88" s="1">
        <v>0</v>
      </c>
      <c r="S88" s="460"/>
      <c r="T88" s="1">
        <f>VLOOKUP(B88,'App 4 - Recyclables'!$B$6:$T$133,19,FALSE)</f>
        <v>0</v>
      </c>
      <c r="U88" s="1">
        <f>VLOOKUP(B88,'App 5 - Organics'!$B$5:$T$132,19,FALSE)</f>
        <v>0</v>
      </c>
      <c r="V88" s="460"/>
      <c r="W88" s="1">
        <v>0</v>
      </c>
      <c r="X88" s="1">
        <v>0</v>
      </c>
      <c r="Y88" s="1">
        <v>0</v>
      </c>
      <c r="Z88" s="460"/>
      <c r="AA88" s="462">
        <f t="shared" si="8"/>
        <v>1304.44</v>
      </c>
      <c r="AB88" s="460"/>
      <c r="AC88" s="463">
        <f t="shared" si="6"/>
        <v>1304.44</v>
      </c>
      <c r="AD88" s="463">
        <f t="shared" si="6"/>
        <v>0</v>
      </c>
      <c r="AE88" s="463">
        <f t="shared" si="6"/>
        <v>1304.44</v>
      </c>
      <c r="AF88" s="463">
        <f t="shared" si="9"/>
        <v>0</v>
      </c>
      <c r="AG88" s="463">
        <f t="shared" si="9"/>
        <v>0</v>
      </c>
      <c r="AH88" s="4"/>
      <c r="AI88" s="227">
        <v>0</v>
      </c>
      <c r="AJ88" s="227">
        <v>0</v>
      </c>
      <c r="AK88" s="227">
        <v>0</v>
      </c>
    </row>
    <row r="89" spans="1:42" x14ac:dyDescent="0.2">
      <c r="A89" s="8">
        <v>15900</v>
      </c>
      <c r="B89" s="8" t="s">
        <v>140</v>
      </c>
      <c r="C89" s="8" t="s">
        <v>23</v>
      </c>
      <c r="D89" s="29" t="s">
        <v>2</v>
      </c>
      <c r="E89" s="323"/>
      <c r="F89" s="1">
        <v>37246</v>
      </c>
      <c r="G89" s="1">
        <v>0</v>
      </c>
      <c r="H89" s="1">
        <f t="shared" si="7"/>
        <v>37246</v>
      </c>
      <c r="I89" s="460"/>
      <c r="J89" s="1">
        <f>VLOOKUP(B89,'App 4 - Recyclables'!$B$6:$H$133,7,FALSE)</f>
        <v>1821</v>
      </c>
      <c r="K89" s="1">
        <f>VLOOKUP(B89,'App 5 - Organics'!$B$5:$AB$132,27,FALSE)</f>
        <v>2.95</v>
      </c>
      <c r="L89" s="461"/>
      <c r="M89" s="1">
        <f>VLOOKUP(B89,'App 4 - Recyclables'!$B$6:$P$133,15,FALSE)</f>
        <v>294</v>
      </c>
      <c r="N89" s="1">
        <f>VLOOKUP(B89,'App 5 - Organics'!$B$5:$P$132,15,FALSE)</f>
        <v>0</v>
      </c>
      <c r="O89" s="460"/>
      <c r="P89" s="1">
        <v>10037</v>
      </c>
      <c r="Q89" s="1">
        <v>1647</v>
      </c>
      <c r="R89" s="1">
        <v>8390</v>
      </c>
      <c r="S89" s="460"/>
      <c r="T89" s="1">
        <f>VLOOKUP(B89,'App 4 - Recyclables'!$B$6:$T$133,19,FALSE)</f>
        <v>155.94999999999999</v>
      </c>
      <c r="U89" s="1">
        <f>VLOOKUP(B89,'App 5 - Organics'!$B$5:$T$132,19,FALSE)</f>
        <v>0</v>
      </c>
      <c r="V89" s="460"/>
      <c r="W89" s="1">
        <v>1398.37</v>
      </c>
      <c r="X89" s="1">
        <v>0</v>
      </c>
      <c r="Y89" s="1">
        <v>1398.37</v>
      </c>
      <c r="Z89" s="460"/>
      <c r="AA89" s="462">
        <f t="shared" si="8"/>
        <v>49308.27</v>
      </c>
      <c r="AB89" s="460"/>
      <c r="AC89" s="463">
        <f t="shared" si="6"/>
        <v>48681.37</v>
      </c>
      <c r="AD89" s="463">
        <f t="shared" si="6"/>
        <v>1647</v>
      </c>
      <c r="AE89" s="463">
        <f t="shared" si="6"/>
        <v>47034.37</v>
      </c>
      <c r="AF89" s="463">
        <f t="shared" si="9"/>
        <v>2270.9499999999998</v>
      </c>
      <c r="AG89" s="463">
        <f t="shared" si="9"/>
        <v>2.95</v>
      </c>
      <c r="AH89" s="4"/>
      <c r="AI89" s="227">
        <v>636</v>
      </c>
      <c r="AJ89" s="227">
        <v>0</v>
      </c>
      <c r="AK89" s="227">
        <v>636</v>
      </c>
    </row>
    <row r="90" spans="1:42" x14ac:dyDescent="0.2">
      <c r="A90" s="8">
        <v>15950</v>
      </c>
      <c r="B90" s="8" t="s">
        <v>55</v>
      </c>
      <c r="C90" s="8" t="s">
        <v>24</v>
      </c>
      <c r="D90" s="29" t="s">
        <v>2</v>
      </c>
      <c r="E90" s="323"/>
      <c r="F90" s="1">
        <v>12046</v>
      </c>
      <c r="G90" s="1">
        <v>0</v>
      </c>
      <c r="H90" s="1">
        <f t="shared" si="7"/>
        <v>12046</v>
      </c>
      <c r="I90" s="460"/>
      <c r="J90" s="1">
        <f>VLOOKUP(B90,'App 4 - Recyclables'!$B$6:$H$133,7,FALSE)</f>
        <v>0</v>
      </c>
      <c r="K90" s="1">
        <f>VLOOKUP(B90,'App 5 - Organics'!$B$5:$AB$132,27,FALSE)</f>
        <v>0</v>
      </c>
      <c r="L90" s="461"/>
      <c r="M90" s="1">
        <f>VLOOKUP(B90,'App 4 - Recyclables'!$B$6:$P$133,15,FALSE)</f>
        <v>0</v>
      </c>
      <c r="N90" s="1">
        <f>VLOOKUP(B90,'App 5 - Organics'!$B$5:$P$132,15,FALSE)</f>
        <v>0</v>
      </c>
      <c r="O90" s="460"/>
      <c r="P90" s="1">
        <v>0</v>
      </c>
      <c r="Q90" s="1">
        <v>0</v>
      </c>
      <c r="R90" s="1">
        <v>0</v>
      </c>
      <c r="S90" s="460"/>
      <c r="T90" s="1">
        <f>VLOOKUP(B90,'App 4 - Recyclables'!$B$6:$T$133,19,FALSE)</f>
        <v>0</v>
      </c>
      <c r="U90" s="1">
        <f>VLOOKUP(B90,'App 5 - Organics'!$B$5:$T$132,19,FALSE)</f>
        <v>0</v>
      </c>
      <c r="V90" s="460"/>
      <c r="W90" s="1">
        <v>2082</v>
      </c>
      <c r="X90" s="1">
        <v>0</v>
      </c>
      <c r="Y90" s="1">
        <v>2082</v>
      </c>
      <c r="Z90" s="460"/>
      <c r="AA90" s="462">
        <f t="shared" si="8"/>
        <v>14128</v>
      </c>
      <c r="AB90" s="460"/>
      <c r="AC90" s="463">
        <f t="shared" si="6"/>
        <v>14128</v>
      </c>
      <c r="AD90" s="463">
        <f t="shared" si="6"/>
        <v>0</v>
      </c>
      <c r="AE90" s="463">
        <f t="shared" si="6"/>
        <v>14128</v>
      </c>
      <c r="AF90" s="463">
        <f t="shared" si="9"/>
        <v>0</v>
      </c>
      <c r="AG90" s="463">
        <f t="shared" si="9"/>
        <v>0</v>
      </c>
      <c r="AH90" s="4"/>
      <c r="AI90" s="227">
        <v>0</v>
      </c>
      <c r="AJ90" s="227">
        <v>0</v>
      </c>
      <c r="AK90" s="227">
        <v>0</v>
      </c>
    </row>
    <row r="91" spans="1:42" x14ac:dyDescent="0.2">
      <c r="A91" s="8">
        <v>15990</v>
      </c>
      <c r="B91" s="8" t="s">
        <v>141</v>
      </c>
      <c r="C91" s="8"/>
      <c r="D91" s="29" t="s">
        <v>2</v>
      </c>
      <c r="E91" s="323"/>
      <c r="F91" s="1">
        <v>45911.12</v>
      </c>
      <c r="G91" s="1">
        <v>17850.660000000003</v>
      </c>
      <c r="H91" s="1">
        <f t="shared" si="7"/>
        <v>28060.46</v>
      </c>
      <c r="I91" s="460"/>
      <c r="J91" s="1">
        <f>VLOOKUP(B91,'App 4 - Recyclables'!$B$6:$H$133,7,FALSE)</f>
        <v>0</v>
      </c>
      <c r="K91" s="1">
        <f>VLOOKUP(B91,'App 5 - Organics'!$B$5:$AB$132,27,FALSE)</f>
        <v>0</v>
      </c>
      <c r="L91" s="461"/>
      <c r="M91" s="1">
        <f>VLOOKUP(B91,'App 4 - Recyclables'!$B$6:$P$133,15,FALSE)</f>
        <v>0</v>
      </c>
      <c r="N91" s="1">
        <f>VLOOKUP(B91,'App 5 - Organics'!$B$5:$P$132,15,FALSE)</f>
        <v>0</v>
      </c>
      <c r="O91" s="460"/>
      <c r="P91" s="1">
        <v>1204.3800000000001</v>
      </c>
      <c r="Q91" s="1">
        <v>1204.3800000000001</v>
      </c>
      <c r="R91" s="1">
        <v>0</v>
      </c>
      <c r="S91" s="460"/>
      <c r="T91" s="1">
        <f>VLOOKUP(B91,'App 4 - Recyclables'!$B$6:$T$133,19,FALSE)</f>
        <v>0</v>
      </c>
      <c r="U91" s="1">
        <f>VLOOKUP(B91,'App 5 - Organics'!$B$5:$T$132,19,FALSE)</f>
        <v>0</v>
      </c>
      <c r="V91" s="460"/>
      <c r="W91" s="1">
        <v>8332.02</v>
      </c>
      <c r="X91" s="1">
        <v>0</v>
      </c>
      <c r="Y91" s="1">
        <v>8332.02</v>
      </c>
      <c r="Z91" s="460"/>
      <c r="AA91" s="462">
        <f t="shared" si="8"/>
        <v>36392.479999999996</v>
      </c>
      <c r="AB91" s="460"/>
      <c r="AC91" s="463">
        <f t="shared" si="6"/>
        <v>55447.520000000004</v>
      </c>
      <c r="AD91" s="463">
        <f t="shared" si="6"/>
        <v>19055.040000000005</v>
      </c>
      <c r="AE91" s="463">
        <f t="shared" si="6"/>
        <v>36392.479999999996</v>
      </c>
      <c r="AF91" s="463">
        <f t="shared" si="9"/>
        <v>0</v>
      </c>
      <c r="AG91" s="463">
        <f t="shared" si="9"/>
        <v>0</v>
      </c>
      <c r="AH91" s="4"/>
      <c r="AI91" s="227">
        <v>0</v>
      </c>
      <c r="AJ91" s="227">
        <v>0</v>
      </c>
      <c r="AK91" s="227">
        <v>0</v>
      </c>
      <c r="AP91" s="452"/>
    </row>
    <row r="92" spans="1:42" x14ac:dyDescent="0.2">
      <c r="A92" s="8">
        <v>16100</v>
      </c>
      <c r="B92" s="8" t="s">
        <v>142</v>
      </c>
      <c r="C92" s="8" t="s">
        <v>38</v>
      </c>
      <c r="D92" s="29" t="s">
        <v>1</v>
      </c>
      <c r="E92" s="323"/>
      <c r="F92" s="1">
        <v>583.13</v>
      </c>
      <c r="G92" s="1">
        <v>0</v>
      </c>
      <c r="H92" s="1">
        <f t="shared" si="7"/>
        <v>583.13</v>
      </c>
      <c r="I92" s="460"/>
      <c r="J92" s="1">
        <f>VLOOKUP(B92,'App 4 - Recyclables'!$B$6:$H$133,7,FALSE)</f>
        <v>0</v>
      </c>
      <c r="K92" s="1">
        <f>VLOOKUP(B92,'App 5 - Organics'!$B$5:$AB$132,27,FALSE)</f>
        <v>0</v>
      </c>
      <c r="L92" s="461"/>
      <c r="M92" s="1">
        <f>VLOOKUP(B92,'App 4 - Recyclables'!$B$6:$P$133,15,FALSE)</f>
        <v>0</v>
      </c>
      <c r="N92" s="1">
        <f>VLOOKUP(B92,'App 5 - Organics'!$B$5:$P$132,15,FALSE)</f>
        <v>0</v>
      </c>
      <c r="O92" s="460"/>
      <c r="P92" s="1">
        <v>799</v>
      </c>
      <c r="Q92" s="1">
        <v>0</v>
      </c>
      <c r="R92" s="1">
        <v>799</v>
      </c>
      <c r="S92" s="460"/>
      <c r="T92" s="1">
        <f>VLOOKUP(B92,'App 4 - Recyclables'!$B$6:$T$133,19,FALSE)</f>
        <v>1.64</v>
      </c>
      <c r="U92" s="1">
        <f>VLOOKUP(B92,'App 5 - Organics'!$B$5:$T$132,19,FALSE)</f>
        <v>0</v>
      </c>
      <c r="V92" s="460"/>
      <c r="W92" s="1">
        <v>86.63</v>
      </c>
      <c r="X92" s="1">
        <v>0</v>
      </c>
      <c r="Y92" s="1">
        <v>86.63</v>
      </c>
      <c r="Z92" s="460"/>
      <c r="AA92" s="462">
        <f t="shared" si="8"/>
        <v>1470.4</v>
      </c>
      <c r="AB92" s="460"/>
      <c r="AC92" s="463">
        <f t="shared" si="6"/>
        <v>1468.7600000000002</v>
      </c>
      <c r="AD92" s="463">
        <f t="shared" si="6"/>
        <v>0</v>
      </c>
      <c r="AE92" s="463">
        <f t="shared" si="6"/>
        <v>1468.7600000000002</v>
      </c>
      <c r="AF92" s="463">
        <f t="shared" si="9"/>
        <v>1.64</v>
      </c>
      <c r="AG92" s="463">
        <f t="shared" si="9"/>
        <v>0</v>
      </c>
      <c r="AH92" s="4"/>
      <c r="AI92" s="227">
        <v>0</v>
      </c>
      <c r="AJ92" s="227">
        <v>0</v>
      </c>
      <c r="AK92" s="227">
        <v>0</v>
      </c>
    </row>
    <row r="93" spans="1:42" x14ac:dyDescent="0.2">
      <c r="A93" s="8">
        <v>16150</v>
      </c>
      <c r="B93" s="8" t="s">
        <v>143</v>
      </c>
      <c r="C93" s="8" t="s">
        <v>38</v>
      </c>
      <c r="D93" s="29" t="s">
        <v>1</v>
      </c>
      <c r="E93" s="323"/>
      <c r="F93" s="1">
        <v>11198.57</v>
      </c>
      <c r="G93" s="1">
        <v>0</v>
      </c>
      <c r="H93" s="1">
        <f t="shared" si="7"/>
        <v>11198.57</v>
      </c>
      <c r="I93" s="460"/>
      <c r="J93" s="1">
        <f>VLOOKUP(B93,'App 4 - Recyclables'!$B$6:$H$133,7,FALSE)</f>
        <v>0.22</v>
      </c>
      <c r="K93" s="1">
        <f>VLOOKUP(B93,'App 5 - Organics'!$B$5:$AB$132,27,FALSE)</f>
        <v>4.12</v>
      </c>
      <c r="L93" s="461"/>
      <c r="M93" s="1">
        <f>VLOOKUP(B93,'App 4 - Recyclables'!$B$6:$P$133,15,FALSE)</f>
        <v>0</v>
      </c>
      <c r="N93" s="1">
        <f>VLOOKUP(B93,'App 5 - Organics'!$B$5:$P$132,15,FALSE)</f>
        <v>0</v>
      </c>
      <c r="O93" s="460"/>
      <c r="P93" s="1">
        <v>9280.92</v>
      </c>
      <c r="Q93" s="1">
        <v>30.039999999999054</v>
      </c>
      <c r="R93" s="1">
        <v>9250.880000000001</v>
      </c>
      <c r="S93" s="460"/>
      <c r="T93" s="1">
        <f>VLOOKUP(B93,'App 4 - Recyclables'!$B$6:$T$133,19,FALSE)</f>
        <v>0</v>
      </c>
      <c r="U93" s="1">
        <f>VLOOKUP(B93,'App 5 - Organics'!$B$5:$T$132,19,FALSE)</f>
        <v>0</v>
      </c>
      <c r="V93" s="460"/>
      <c r="W93" s="1">
        <v>506.94</v>
      </c>
      <c r="X93" s="1">
        <v>0</v>
      </c>
      <c r="Y93" s="1">
        <v>506.94</v>
      </c>
      <c r="Z93" s="460"/>
      <c r="AA93" s="462">
        <f t="shared" si="8"/>
        <v>20960.73</v>
      </c>
      <c r="AB93" s="460"/>
      <c r="AC93" s="463">
        <f t="shared" si="6"/>
        <v>20986.429999999997</v>
      </c>
      <c r="AD93" s="463">
        <f t="shared" si="6"/>
        <v>30.039999999999054</v>
      </c>
      <c r="AE93" s="463">
        <f t="shared" si="6"/>
        <v>20956.39</v>
      </c>
      <c r="AF93" s="463">
        <f t="shared" si="9"/>
        <v>0.22</v>
      </c>
      <c r="AG93" s="463">
        <f t="shared" si="9"/>
        <v>4.12</v>
      </c>
      <c r="AH93" s="4"/>
      <c r="AI93" s="227">
        <v>1361.68</v>
      </c>
      <c r="AJ93" s="227">
        <v>753.68000000000006</v>
      </c>
      <c r="AK93" s="227">
        <v>608</v>
      </c>
    </row>
    <row r="94" spans="1:42" x14ac:dyDescent="0.2">
      <c r="A94" s="8">
        <v>16200</v>
      </c>
      <c r="B94" s="8" t="s">
        <v>144</v>
      </c>
      <c r="C94" s="8" t="s">
        <v>38</v>
      </c>
      <c r="D94" s="29" t="s">
        <v>1</v>
      </c>
      <c r="E94" s="323"/>
      <c r="F94" s="1">
        <v>2334.17</v>
      </c>
      <c r="G94" s="1">
        <v>0</v>
      </c>
      <c r="H94" s="1">
        <f t="shared" si="7"/>
        <v>2334.17</v>
      </c>
      <c r="I94" s="460"/>
      <c r="J94" s="1">
        <f>VLOOKUP(B94,'App 4 - Recyclables'!$B$6:$H$133,7,FALSE)</f>
        <v>0</v>
      </c>
      <c r="K94" s="1">
        <f>VLOOKUP(B94,'App 5 - Organics'!$B$5:$AB$132,27,FALSE)</f>
        <v>0</v>
      </c>
      <c r="L94" s="461"/>
      <c r="M94" s="1">
        <f>VLOOKUP(B94,'App 4 - Recyclables'!$B$6:$P$133,15,FALSE)</f>
        <v>0</v>
      </c>
      <c r="N94" s="1">
        <f>VLOOKUP(B94,'App 5 - Organics'!$B$5:$P$132,15,FALSE)</f>
        <v>0</v>
      </c>
      <c r="O94" s="460"/>
      <c r="P94" s="1">
        <v>8526.1</v>
      </c>
      <c r="Q94" s="1">
        <v>5.1000000000003638</v>
      </c>
      <c r="R94" s="1">
        <v>8521</v>
      </c>
      <c r="S94" s="460"/>
      <c r="T94" s="1">
        <f>VLOOKUP(B94,'App 4 - Recyclables'!$B$6:$T$133,19,FALSE)</f>
        <v>4</v>
      </c>
      <c r="U94" s="1">
        <f>VLOOKUP(B94,'App 5 - Organics'!$B$5:$T$132,19,FALSE)</f>
        <v>0</v>
      </c>
      <c r="V94" s="460"/>
      <c r="W94" s="1">
        <v>66</v>
      </c>
      <c r="X94" s="1">
        <v>5</v>
      </c>
      <c r="Y94" s="1">
        <v>61</v>
      </c>
      <c r="Z94" s="460"/>
      <c r="AA94" s="462">
        <f t="shared" si="8"/>
        <v>10920.17</v>
      </c>
      <c r="AB94" s="460"/>
      <c r="AC94" s="463">
        <f t="shared" si="6"/>
        <v>10926.27</v>
      </c>
      <c r="AD94" s="463">
        <f t="shared" si="6"/>
        <v>10.100000000000364</v>
      </c>
      <c r="AE94" s="463">
        <f t="shared" si="6"/>
        <v>10916.17</v>
      </c>
      <c r="AF94" s="463">
        <f t="shared" si="9"/>
        <v>4</v>
      </c>
      <c r="AG94" s="463">
        <f t="shared" si="9"/>
        <v>0</v>
      </c>
      <c r="AH94" s="4"/>
      <c r="AI94" s="227">
        <v>9431</v>
      </c>
      <c r="AJ94" s="227">
        <v>0</v>
      </c>
      <c r="AK94" s="227">
        <v>9431</v>
      </c>
    </row>
    <row r="95" spans="1:42" x14ac:dyDescent="0.2">
      <c r="A95" s="8">
        <v>16260</v>
      </c>
      <c r="B95" s="8" t="s">
        <v>56</v>
      </c>
      <c r="C95" s="8" t="s">
        <v>18</v>
      </c>
      <c r="D95" s="29" t="s">
        <v>2</v>
      </c>
      <c r="E95" s="323"/>
      <c r="F95" s="1">
        <v>49539.96</v>
      </c>
      <c r="G95" s="1">
        <v>14366.589999999997</v>
      </c>
      <c r="H95" s="1">
        <f t="shared" si="7"/>
        <v>35173.370000000003</v>
      </c>
      <c r="I95" s="460"/>
      <c r="J95" s="1">
        <f>VLOOKUP(B95,'App 4 - Recyclables'!$B$6:$H$133,7,FALSE)</f>
        <v>1159</v>
      </c>
      <c r="K95" s="1">
        <f>VLOOKUP(B95,'App 5 - Organics'!$B$5:$AB$132,27,FALSE)</f>
        <v>0</v>
      </c>
      <c r="L95" s="461"/>
      <c r="M95" s="1">
        <f>VLOOKUP(B95,'App 4 - Recyclables'!$B$6:$P$133,15,FALSE)</f>
        <v>0</v>
      </c>
      <c r="N95" s="1">
        <f>VLOOKUP(B95,'App 5 - Organics'!$B$5:$P$132,15,FALSE)</f>
        <v>0</v>
      </c>
      <c r="O95" s="460"/>
      <c r="P95" s="1">
        <v>0</v>
      </c>
      <c r="Q95" s="1">
        <v>0</v>
      </c>
      <c r="R95" s="1">
        <v>0</v>
      </c>
      <c r="S95" s="460"/>
      <c r="T95" s="1">
        <f>VLOOKUP(B95,'App 4 - Recyclables'!$B$6:$T$133,19,FALSE)</f>
        <v>0</v>
      </c>
      <c r="U95" s="1">
        <f>VLOOKUP(B95,'App 5 - Organics'!$B$5:$T$132,19,FALSE)</f>
        <v>0</v>
      </c>
      <c r="V95" s="460"/>
      <c r="W95" s="1">
        <v>0</v>
      </c>
      <c r="X95" s="1">
        <v>0</v>
      </c>
      <c r="Y95" s="1">
        <v>0</v>
      </c>
      <c r="Z95" s="460"/>
      <c r="AA95" s="462">
        <f t="shared" si="8"/>
        <v>36332.370000000003</v>
      </c>
      <c r="AB95" s="460"/>
      <c r="AC95" s="463">
        <f t="shared" si="6"/>
        <v>49539.96</v>
      </c>
      <c r="AD95" s="463">
        <f t="shared" si="6"/>
        <v>14366.589999999997</v>
      </c>
      <c r="AE95" s="463">
        <f t="shared" si="6"/>
        <v>35173.370000000003</v>
      </c>
      <c r="AF95" s="463">
        <f t="shared" si="9"/>
        <v>1159</v>
      </c>
      <c r="AG95" s="463">
        <f t="shared" si="9"/>
        <v>0</v>
      </c>
      <c r="AH95" s="4"/>
      <c r="AI95" s="227">
        <v>0</v>
      </c>
      <c r="AJ95" s="227">
        <v>0</v>
      </c>
      <c r="AK95" s="227">
        <v>0</v>
      </c>
    </row>
    <row r="96" spans="1:42" x14ac:dyDescent="0.2">
      <c r="A96" s="8">
        <v>16350</v>
      </c>
      <c r="B96" s="8" t="s">
        <v>57</v>
      </c>
      <c r="C96" s="8" t="s">
        <v>182</v>
      </c>
      <c r="D96" s="29" t="s">
        <v>2</v>
      </c>
      <c r="E96" s="323"/>
      <c r="F96" s="1">
        <v>33813.97</v>
      </c>
      <c r="G96" s="1">
        <v>3698.1100000000006</v>
      </c>
      <c r="H96" s="1">
        <f t="shared" si="7"/>
        <v>30115.86</v>
      </c>
      <c r="I96" s="460"/>
      <c r="J96" s="1">
        <f>VLOOKUP(B96,'App 4 - Recyclables'!$B$6:$H$133,7,FALSE)</f>
        <v>1636.88</v>
      </c>
      <c r="K96" s="1">
        <f>VLOOKUP(B96,'App 5 - Organics'!$B$5:$AB$132,27,FALSE)</f>
        <v>1108.6400000000001</v>
      </c>
      <c r="L96" s="461"/>
      <c r="M96" s="1">
        <f>VLOOKUP(B96,'App 4 - Recyclables'!$B$6:$P$133,15,FALSE)</f>
        <v>12.42</v>
      </c>
      <c r="N96" s="1">
        <f>VLOOKUP(B96,'App 5 - Organics'!$B$5:$P$132,15,FALSE)</f>
        <v>0</v>
      </c>
      <c r="O96" s="460"/>
      <c r="P96" s="1">
        <v>118.07</v>
      </c>
      <c r="Q96" s="1">
        <v>118.07</v>
      </c>
      <c r="R96" s="1">
        <v>0</v>
      </c>
      <c r="S96" s="460"/>
      <c r="T96" s="1">
        <f>VLOOKUP(B96,'App 4 - Recyclables'!$B$6:$T$133,19,FALSE)</f>
        <v>0</v>
      </c>
      <c r="U96" s="1">
        <f>VLOOKUP(B96,'App 5 - Organics'!$B$5:$T$132,19,FALSE)</f>
        <v>0.51</v>
      </c>
      <c r="V96" s="460"/>
      <c r="W96" s="1">
        <v>10149.120000000001</v>
      </c>
      <c r="X96" s="1">
        <v>0</v>
      </c>
      <c r="Y96" s="1">
        <v>10149.120000000001</v>
      </c>
      <c r="Z96" s="460"/>
      <c r="AA96" s="462">
        <f t="shared" si="8"/>
        <v>43023.430000000008</v>
      </c>
      <c r="AB96" s="460"/>
      <c r="AC96" s="463">
        <f t="shared" si="6"/>
        <v>44081.16</v>
      </c>
      <c r="AD96" s="463">
        <f t="shared" si="6"/>
        <v>3816.1800000000007</v>
      </c>
      <c r="AE96" s="463">
        <f t="shared" si="6"/>
        <v>40264.980000000003</v>
      </c>
      <c r="AF96" s="463">
        <f t="shared" si="9"/>
        <v>1649.3000000000002</v>
      </c>
      <c r="AG96" s="463">
        <f t="shared" si="9"/>
        <v>1109.1500000000001</v>
      </c>
      <c r="AH96" s="4"/>
      <c r="AI96" s="227">
        <v>2548.5700000000002</v>
      </c>
      <c r="AJ96" s="227">
        <v>502.73000000000025</v>
      </c>
      <c r="AK96" s="227">
        <v>2045.84</v>
      </c>
    </row>
    <row r="97" spans="1:37" x14ac:dyDescent="0.2">
      <c r="A97" s="8">
        <v>16380</v>
      </c>
      <c r="B97" s="8" t="s">
        <v>145</v>
      </c>
      <c r="C97" s="8" t="s">
        <v>39</v>
      </c>
      <c r="D97" s="29" t="s">
        <v>3</v>
      </c>
      <c r="E97" s="323"/>
      <c r="F97" s="1">
        <v>12100.9</v>
      </c>
      <c r="G97" s="1">
        <v>0</v>
      </c>
      <c r="H97" s="1">
        <f t="shared" si="7"/>
        <v>12100.9</v>
      </c>
      <c r="I97" s="460"/>
      <c r="J97" s="1">
        <f>VLOOKUP(B97,'App 4 - Recyclables'!$B$6:$H$133,7,FALSE)</f>
        <v>1501.96</v>
      </c>
      <c r="K97" s="1">
        <f>VLOOKUP(B97,'App 5 - Organics'!$B$5:$AB$132,27,FALSE)</f>
        <v>42.32</v>
      </c>
      <c r="L97" s="461"/>
      <c r="M97" s="1">
        <f>VLOOKUP(B97,'App 4 - Recyclables'!$B$6:$P$133,15,FALSE)</f>
        <v>0</v>
      </c>
      <c r="N97" s="1">
        <f>VLOOKUP(B97,'App 5 - Organics'!$B$5:$P$132,15,FALSE)</f>
        <v>0</v>
      </c>
      <c r="O97" s="460"/>
      <c r="P97" s="1">
        <v>8394.31</v>
      </c>
      <c r="Q97" s="1">
        <v>19.260000000000218</v>
      </c>
      <c r="R97" s="1">
        <v>8375.0499999999993</v>
      </c>
      <c r="S97" s="460"/>
      <c r="T97" s="1">
        <f>VLOOKUP(B97,'App 4 - Recyclables'!$B$6:$T$133,19,FALSE)</f>
        <v>0</v>
      </c>
      <c r="U97" s="1">
        <f>VLOOKUP(B97,'App 5 - Organics'!$B$5:$T$132,19,FALSE)</f>
        <v>0</v>
      </c>
      <c r="V97" s="460"/>
      <c r="W97" s="1">
        <v>103.56</v>
      </c>
      <c r="X97" s="1">
        <v>0</v>
      </c>
      <c r="Y97" s="1">
        <v>103.56</v>
      </c>
      <c r="Z97" s="460"/>
      <c r="AA97" s="462">
        <f t="shared" si="8"/>
        <v>22123.79</v>
      </c>
      <c r="AB97" s="460"/>
      <c r="AC97" s="463">
        <f t="shared" si="6"/>
        <v>20598.77</v>
      </c>
      <c r="AD97" s="463">
        <f t="shared" si="6"/>
        <v>19.260000000000218</v>
      </c>
      <c r="AE97" s="463">
        <f t="shared" si="6"/>
        <v>20579.509999999998</v>
      </c>
      <c r="AF97" s="463">
        <f t="shared" si="9"/>
        <v>1501.96</v>
      </c>
      <c r="AG97" s="463">
        <f t="shared" si="9"/>
        <v>42.32</v>
      </c>
      <c r="AH97" s="4"/>
      <c r="AI97" s="227">
        <v>30318.65</v>
      </c>
      <c r="AJ97" s="227">
        <v>0</v>
      </c>
      <c r="AK97" s="227">
        <v>30318.65</v>
      </c>
    </row>
    <row r="98" spans="1:37" x14ac:dyDescent="0.2">
      <c r="A98" s="8">
        <v>16400</v>
      </c>
      <c r="B98" s="8" t="s">
        <v>58</v>
      </c>
      <c r="C98" s="8" t="s">
        <v>23</v>
      </c>
      <c r="D98" s="29" t="s">
        <v>2</v>
      </c>
      <c r="E98" s="323"/>
      <c r="F98" s="1">
        <v>25663</v>
      </c>
      <c r="G98" s="1">
        <v>0</v>
      </c>
      <c r="H98" s="1">
        <f t="shared" si="7"/>
        <v>25663</v>
      </c>
      <c r="I98" s="460"/>
      <c r="J98" s="1">
        <f>VLOOKUP(B98,'App 4 - Recyclables'!$B$6:$H$133,7,FALSE)</f>
        <v>410</v>
      </c>
      <c r="K98" s="1">
        <f>VLOOKUP(B98,'App 5 - Organics'!$B$5:$AB$132,27,FALSE)</f>
        <v>0</v>
      </c>
      <c r="L98" s="461"/>
      <c r="M98" s="1">
        <f>VLOOKUP(B98,'App 4 - Recyclables'!$B$6:$P$133,15,FALSE)</f>
        <v>0</v>
      </c>
      <c r="N98" s="1">
        <f>VLOOKUP(B98,'App 5 - Organics'!$B$5:$P$132,15,FALSE)</f>
        <v>0</v>
      </c>
      <c r="O98" s="460"/>
      <c r="P98" s="1">
        <v>4871.3999999999996</v>
      </c>
      <c r="Q98" s="1">
        <v>404.39999999999964</v>
      </c>
      <c r="R98" s="1">
        <v>4467</v>
      </c>
      <c r="S98" s="460"/>
      <c r="T98" s="1">
        <f>VLOOKUP(B98,'App 4 - Recyclables'!$B$6:$T$133,19,FALSE)</f>
        <v>0</v>
      </c>
      <c r="U98" s="1">
        <f>VLOOKUP(B98,'App 5 - Organics'!$B$5:$T$132,19,FALSE)</f>
        <v>0</v>
      </c>
      <c r="V98" s="460"/>
      <c r="W98" s="1">
        <v>2706.7</v>
      </c>
      <c r="X98" s="1">
        <v>9.9999999999909051E-2</v>
      </c>
      <c r="Y98" s="1">
        <v>2706.6</v>
      </c>
      <c r="Z98" s="460"/>
      <c r="AA98" s="462">
        <f t="shared" si="8"/>
        <v>33246.6</v>
      </c>
      <c r="AB98" s="460"/>
      <c r="AC98" s="463">
        <f t="shared" si="6"/>
        <v>33241.1</v>
      </c>
      <c r="AD98" s="463">
        <f t="shared" si="6"/>
        <v>404.49999999999955</v>
      </c>
      <c r="AE98" s="463">
        <f t="shared" si="6"/>
        <v>32836.6</v>
      </c>
      <c r="AF98" s="463">
        <f t="shared" si="9"/>
        <v>410</v>
      </c>
      <c r="AG98" s="463">
        <f t="shared" si="9"/>
        <v>0</v>
      </c>
      <c r="AH98" s="4"/>
      <c r="AI98" s="227">
        <v>0</v>
      </c>
      <c r="AJ98" s="227">
        <v>0</v>
      </c>
      <c r="AK98" s="227">
        <v>0</v>
      </c>
    </row>
    <row r="99" spans="1:37" x14ac:dyDescent="0.2">
      <c r="A99" s="8">
        <v>16490</v>
      </c>
      <c r="B99" s="8" t="s">
        <v>146</v>
      </c>
      <c r="C99" s="8" t="s">
        <v>67</v>
      </c>
      <c r="D99" s="29" t="s">
        <v>1</v>
      </c>
      <c r="E99" s="323"/>
      <c r="F99" s="1">
        <v>10927</v>
      </c>
      <c r="G99" s="1">
        <v>0</v>
      </c>
      <c r="H99" s="1">
        <f t="shared" si="7"/>
        <v>10927</v>
      </c>
      <c r="I99" s="460"/>
      <c r="J99" s="1">
        <f>VLOOKUP(B99,'App 4 - Recyclables'!$B$6:$H$133,7,FALSE)</f>
        <v>261</v>
      </c>
      <c r="K99" s="1">
        <f>VLOOKUP(B99,'App 5 - Organics'!$B$5:$AB$132,27,FALSE)</f>
        <v>70</v>
      </c>
      <c r="L99" s="461"/>
      <c r="M99" s="1">
        <f>VLOOKUP(B99,'App 4 - Recyclables'!$B$6:$P$133,15,FALSE)</f>
        <v>27.5</v>
      </c>
      <c r="N99" s="1">
        <f>VLOOKUP(B99,'App 5 - Organics'!$B$5:$P$132,15,FALSE)</f>
        <v>309</v>
      </c>
      <c r="O99" s="460"/>
      <c r="P99" s="1">
        <v>5562.89</v>
      </c>
      <c r="Q99" s="1">
        <v>304.82999999999993</v>
      </c>
      <c r="R99" s="1">
        <v>5258.06</v>
      </c>
      <c r="S99" s="460"/>
      <c r="T99" s="1">
        <f>VLOOKUP(B99,'App 4 - Recyclables'!$B$6:$T$133,19,FALSE)</f>
        <v>0</v>
      </c>
      <c r="U99" s="1">
        <f>VLOOKUP(B99,'App 5 - Organics'!$B$5:$T$132,19,FALSE)</f>
        <v>0</v>
      </c>
      <c r="V99" s="460"/>
      <c r="W99" s="1">
        <v>347.34</v>
      </c>
      <c r="X99" s="1">
        <v>0</v>
      </c>
      <c r="Y99" s="1">
        <v>347.34</v>
      </c>
      <c r="Z99" s="460"/>
      <c r="AA99" s="462">
        <f t="shared" si="8"/>
        <v>17199.900000000001</v>
      </c>
      <c r="AB99" s="460"/>
      <c r="AC99" s="463">
        <f t="shared" si="6"/>
        <v>16837.23</v>
      </c>
      <c r="AD99" s="463">
        <f t="shared" si="6"/>
        <v>304.82999999999993</v>
      </c>
      <c r="AE99" s="463">
        <f t="shared" si="6"/>
        <v>16532.400000000001</v>
      </c>
      <c r="AF99" s="463">
        <f t="shared" si="9"/>
        <v>288.5</v>
      </c>
      <c r="AG99" s="463">
        <f t="shared" si="9"/>
        <v>379</v>
      </c>
      <c r="AH99" s="4"/>
      <c r="AI99" s="227">
        <v>0</v>
      </c>
      <c r="AJ99" s="227">
        <v>0</v>
      </c>
      <c r="AK99" s="227">
        <v>0</v>
      </c>
    </row>
    <row r="100" spans="1:37" x14ac:dyDescent="0.2">
      <c r="A100" s="8">
        <v>16550</v>
      </c>
      <c r="B100" s="8" t="s">
        <v>59</v>
      </c>
      <c r="C100" s="8" t="s">
        <v>17</v>
      </c>
      <c r="D100" s="29" t="s">
        <v>2</v>
      </c>
      <c r="E100" s="323"/>
      <c r="F100" s="1">
        <v>20574.259999999998</v>
      </c>
      <c r="G100" s="1">
        <v>6583.7599999999984</v>
      </c>
      <c r="H100" s="1">
        <f t="shared" si="7"/>
        <v>13990.5</v>
      </c>
      <c r="I100" s="460"/>
      <c r="J100" s="1">
        <f>VLOOKUP(B100,'App 4 - Recyclables'!$B$6:$H$133,7,FALSE)</f>
        <v>1544</v>
      </c>
      <c r="K100" s="1">
        <f>VLOOKUP(B100,'App 5 - Organics'!$B$5:$AB$132,27,FALSE)</f>
        <v>824</v>
      </c>
      <c r="L100" s="461"/>
      <c r="M100" s="1">
        <f>VLOOKUP(B100,'App 4 - Recyclables'!$B$6:$P$133,15,FALSE)</f>
        <v>0</v>
      </c>
      <c r="N100" s="1">
        <f>VLOOKUP(B100,'App 5 - Organics'!$B$5:$P$132,15,FALSE)</f>
        <v>0</v>
      </c>
      <c r="O100" s="460"/>
      <c r="P100" s="1">
        <v>15.4</v>
      </c>
      <c r="Q100" s="1">
        <v>15.4</v>
      </c>
      <c r="R100" s="1">
        <v>0</v>
      </c>
      <c r="S100" s="460"/>
      <c r="T100" s="1">
        <f>VLOOKUP(B100,'App 4 - Recyclables'!$B$6:$T$133,19,FALSE)</f>
        <v>0</v>
      </c>
      <c r="U100" s="1">
        <f>VLOOKUP(B100,'App 5 - Organics'!$B$5:$T$132,19,FALSE)</f>
        <v>0</v>
      </c>
      <c r="V100" s="460"/>
      <c r="W100" s="1">
        <v>3973</v>
      </c>
      <c r="X100" s="1">
        <v>0</v>
      </c>
      <c r="Y100" s="1">
        <v>3973</v>
      </c>
      <c r="Z100" s="460"/>
      <c r="AA100" s="462">
        <f t="shared" si="8"/>
        <v>20331.5</v>
      </c>
      <c r="AB100" s="460"/>
      <c r="AC100" s="463">
        <f t="shared" si="6"/>
        <v>24562.66</v>
      </c>
      <c r="AD100" s="463">
        <f t="shared" si="6"/>
        <v>6599.159999999998</v>
      </c>
      <c r="AE100" s="463">
        <f t="shared" si="6"/>
        <v>17963.5</v>
      </c>
      <c r="AF100" s="463">
        <f t="shared" si="9"/>
        <v>1544</v>
      </c>
      <c r="AG100" s="463">
        <f t="shared" si="9"/>
        <v>824</v>
      </c>
      <c r="AH100" s="4"/>
      <c r="AI100" s="227">
        <v>1019.11</v>
      </c>
      <c r="AJ100" s="227">
        <v>326.12</v>
      </c>
      <c r="AK100" s="227">
        <v>692.99</v>
      </c>
    </row>
    <row r="101" spans="1:37" x14ac:dyDescent="0.2">
      <c r="A101" s="8">
        <v>16610</v>
      </c>
      <c r="B101" s="8" t="s">
        <v>147</v>
      </c>
      <c r="C101" s="8" t="s">
        <v>19</v>
      </c>
      <c r="D101" s="29" t="s">
        <v>3</v>
      </c>
      <c r="E101" s="323"/>
      <c r="F101" s="1">
        <v>3494.29</v>
      </c>
      <c r="G101" s="1">
        <v>0</v>
      </c>
      <c r="H101" s="1">
        <f t="shared" si="7"/>
        <v>3494.29</v>
      </c>
      <c r="I101" s="460"/>
      <c r="J101" s="1">
        <f>VLOOKUP(B101,'App 4 - Recyclables'!$B$6:$H$133,7,FALSE)</f>
        <v>224.26</v>
      </c>
      <c r="K101" s="1">
        <f>VLOOKUP(B101,'App 5 - Organics'!$B$5:$AB$132,27,FALSE)</f>
        <v>488</v>
      </c>
      <c r="L101" s="461"/>
      <c r="M101" s="1">
        <f>VLOOKUP(B101,'App 4 - Recyclables'!$B$6:$P$133,15,FALSE)</f>
        <v>0</v>
      </c>
      <c r="N101" s="1">
        <f>VLOOKUP(B101,'App 5 - Organics'!$B$5:$P$132,15,FALSE)</f>
        <v>0</v>
      </c>
      <c r="O101" s="460"/>
      <c r="P101" s="1">
        <v>2133</v>
      </c>
      <c r="Q101" s="1">
        <v>221</v>
      </c>
      <c r="R101" s="1">
        <v>1912</v>
      </c>
      <c r="S101" s="460"/>
      <c r="T101" s="1">
        <f>VLOOKUP(B101,'App 4 - Recyclables'!$B$6:$T$133,19,FALSE)</f>
        <v>0</v>
      </c>
      <c r="U101" s="1">
        <f>VLOOKUP(B101,'App 5 - Organics'!$B$5:$T$132,19,FALSE)</f>
        <v>0</v>
      </c>
      <c r="V101" s="460"/>
      <c r="W101" s="1">
        <v>0</v>
      </c>
      <c r="X101" s="1">
        <v>0</v>
      </c>
      <c r="Y101" s="1">
        <v>0</v>
      </c>
      <c r="Z101" s="460"/>
      <c r="AA101" s="462">
        <f t="shared" si="8"/>
        <v>6118.55</v>
      </c>
      <c r="AB101" s="460"/>
      <c r="AC101" s="463">
        <f t="shared" ref="AC101:AE131" si="10">F101+P101+W101</f>
        <v>5627.29</v>
      </c>
      <c r="AD101" s="463">
        <f t="shared" si="10"/>
        <v>221</v>
      </c>
      <c r="AE101" s="463">
        <f t="shared" si="10"/>
        <v>5406.29</v>
      </c>
      <c r="AF101" s="463">
        <f t="shared" si="9"/>
        <v>224.26</v>
      </c>
      <c r="AG101" s="463">
        <f t="shared" si="9"/>
        <v>488</v>
      </c>
      <c r="AH101" s="4"/>
      <c r="AI101" s="227">
        <v>4460</v>
      </c>
      <c r="AJ101" s="227">
        <v>0</v>
      </c>
      <c r="AK101" s="227">
        <v>4460</v>
      </c>
    </row>
    <row r="102" spans="1:37" x14ac:dyDescent="0.2">
      <c r="A102" s="8">
        <v>16700</v>
      </c>
      <c r="B102" s="8" t="s">
        <v>60</v>
      </c>
      <c r="C102" s="8" t="s">
        <v>24</v>
      </c>
      <c r="D102" s="29" t="s">
        <v>2</v>
      </c>
      <c r="E102" s="323"/>
      <c r="F102" s="1">
        <v>25517.84</v>
      </c>
      <c r="G102" s="1">
        <v>404.85999999999967</v>
      </c>
      <c r="H102" s="1">
        <f t="shared" si="7"/>
        <v>25112.98</v>
      </c>
      <c r="I102" s="460"/>
      <c r="J102" s="1">
        <f>VLOOKUP(B102,'App 4 - Recyclables'!$B$6:$H$133,7,FALSE)</f>
        <v>745.45</v>
      </c>
      <c r="K102" s="1">
        <f>VLOOKUP(B102,'App 5 - Organics'!$B$5:$AB$132,27,FALSE)</f>
        <v>320.95</v>
      </c>
      <c r="L102" s="461"/>
      <c r="M102" s="1">
        <f>VLOOKUP(B102,'App 4 - Recyclables'!$B$6:$P$133,15,FALSE)</f>
        <v>0</v>
      </c>
      <c r="N102" s="1">
        <f>VLOOKUP(B102,'App 5 - Organics'!$B$5:$P$132,15,FALSE)</f>
        <v>0</v>
      </c>
      <c r="O102" s="460"/>
      <c r="P102" s="1">
        <v>117.65</v>
      </c>
      <c r="Q102" s="1">
        <v>117.65</v>
      </c>
      <c r="R102" s="1">
        <v>0</v>
      </c>
      <c r="S102" s="460"/>
      <c r="T102" s="1">
        <f>VLOOKUP(B102,'App 4 - Recyclables'!$B$6:$T$133,19,FALSE)</f>
        <v>104</v>
      </c>
      <c r="U102" s="1">
        <f>VLOOKUP(B102,'App 5 - Organics'!$B$5:$T$132,19,FALSE)</f>
        <v>0</v>
      </c>
      <c r="V102" s="460"/>
      <c r="W102" s="1">
        <v>5421</v>
      </c>
      <c r="X102" s="1">
        <v>2448</v>
      </c>
      <c r="Y102" s="1">
        <v>2973</v>
      </c>
      <c r="Z102" s="460"/>
      <c r="AA102" s="462">
        <f t="shared" si="8"/>
        <v>29256.38</v>
      </c>
      <c r="AB102" s="460"/>
      <c r="AC102" s="463">
        <f t="shared" si="10"/>
        <v>31056.49</v>
      </c>
      <c r="AD102" s="463">
        <f t="shared" si="10"/>
        <v>2970.5099999999998</v>
      </c>
      <c r="AE102" s="463">
        <f t="shared" si="10"/>
        <v>28085.98</v>
      </c>
      <c r="AF102" s="463">
        <f t="shared" ref="AF102:AG132" si="11">J102+M102+T102</f>
        <v>849.45</v>
      </c>
      <c r="AG102" s="463">
        <f t="shared" si="11"/>
        <v>320.95</v>
      </c>
      <c r="AH102" s="4"/>
      <c r="AI102" s="227">
        <v>0</v>
      </c>
      <c r="AJ102" s="227">
        <v>0</v>
      </c>
      <c r="AK102" s="227">
        <v>0</v>
      </c>
    </row>
    <row r="103" spans="1:37" x14ac:dyDescent="0.2">
      <c r="A103" s="8">
        <v>16900</v>
      </c>
      <c r="B103" s="8" t="s">
        <v>148</v>
      </c>
      <c r="C103" s="8" t="s">
        <v>37</v>
      </c>
      <c r="D103" s="29" t="s">
        <v>2</v>
      </c>
      <c r="E103" s="323"/>
      <c r="F103" s="1">
        <v>13706</v>
      </c>
      <c r="G103" s="1">
        <v>0</v>
      </c>
      <c r="H103" s="1">
        <f t="shared" si="7"/>
        <v>13706</v>
      </c>
      <c r="I103" s="460"/>
      <c r="J103" s="1">
        <f>VLOOKUP(B103,'App 4 - Recyclables'!$B$6:$H$133,7,FALSE)</f>
        <v>590</v>
      </c>
      <c r="K103" s="1">
        <f>VLOOKUP(B103,'App 5 - Organics'!$B$5:$AB$132,27,FALSE)</f>
        <v>523</v>
      </c>
      <c r="L103" s="461"/>
      <c r="M103" s="1">
        <f>VLOOKUP(B103,'App 4 - Recyclables'!$B$6:$P$133,15,FALSE)</f>
        <v>0</v>
      </c>
      <c r="N103" s="1">
        <f>VLOOKUP(B103,'App 5 - Organics'!$B$5:$P$132,15,FALSE)</f>
        <v>0</v>
      </c>
      <c r="O103" s="460"/>
      <c r="P103" s="1">
        <v>5865</v>
      </c>
      <c r="Q103" s="1">
        <v>79</v>
      </c>
      <c r="R103" s="1">
        <v>5786</v>
      </c>
      <c r="S103" s="460"/>
      <c r="T103" s="1">
        <f>VLOOKUP(B103,'App 4 - Recyclables'!$B$6:$T$133,19,FALSE)</f>
        <v>0</v>
      </c>
      <c r="U103" s="1">
        <f>VLOOKUP(B103,'App 5 - Organics'!$B$5:$T$132,19,FALSE)</f>
        <v>0</v>
      </c>
      <c r="V103" s="460"/>
      <c r="W103" s="1">
        <v>161</v>
      </c>
      <c r="X103" s="1">
        <v>0</v>
      </c>
      <c r="Y103" s="1">
        <v>161</v>
      </c>
      <c r="Z103" s="460"/>
      <c r="AA103" s="462">
        <f t="shared" si="8"/>
        <v>20766</v>
      </c>
      <c r="AB103" s="460"/>
      <c r="AC103" s="463">
        <f t="shared" si="10"/>
        <v>19732</v>
      </c>
      <c r="AD103" s="463">
        <f t="shared" si="10"/>
        <v>79</v>
      </c>
      <c r="AE103" s="463">
        <f t="shared" si="10"/>
        <v>19653</v>
      </c>
      <c r="AF103" s="463">
        <f t="shared" si="11"/>
        <v>590</v>
      </c>
      <c r="AG103" s="463">
        <f t="shared" si="11"/>
        <v>523</v>
      </c>
      <c r="AH103" s="4"/>
      <c r="AI103" s="227">
        <v>1718</v>
      </c>
      <c r="AJ103" s="227">
        <v>1718</v>
      </c>
      <c r="AK103" s="227">
        <v>0</v>
      </c>
    </row>
    <row r="104" spans="1:37" x14ac:dyDescent="0.2">
      <c r="A104" s="8">
        <v>16950</v>
      </c>
      <c r="B104" s="8" t="s">
        <v>149</v>
      </c>
      <c r="C104" s="8" t="s">
        <v>37</v>
      </c>
      <c r="D104" s="29" t="s">
        <v>2</v>
      </c>
      <c r="E104" s="323"/>
      <c r="F104" s="1">
        <v>31175</v>
      </c>
      <c r="G104" s="1">
        <v>0</v>
      </c>
      <c r="H104" s="1">
        <f t="shared" si="7"/>
        <v>31175</v>
      </c>
      <c r="I104" s="460"/>
      <c r="J104" s="1">
        <f>VLOOKUP(B104,'App 4 - Recyclables'!$B$6:$H$133,7,FALSE)</f>
        <v>2385</v>
      </c>
      <c r="K104" s="1">
        <f>VLOOKUP(B104,'App 5 - Organics'!$B$5:$AB$132,27,FALSE)</f>
        <v>0</v>
      </c>
      <c r="L104" s="461"/>
      <c r="M104" s="1">
        <f>VLOOKUP(B104,'App 4 - Recyclables'!$B$6:$P$133,15,FALSE)</f>
        <v>0</v>
      </c>
      <c r="N104" s="1">
        <f>VLOOKUP(B104,'App 5 - Organics'!$B$5:$P$132,15,FALSE)</f>
        <v>0</v>
      </c>
      <c r="O104" s="460"/>
      <c r="P104" s="1">
        <v>5009.3</v>
      </c>
      <c r="Q104" s="1">
        <v>551.69999999999982</v>
      </c>
      <c r="R104" s="1">
        <v>4457.6000000000004</v>
      </c>
      <c r="S104" s="460"/>
      <c r="T104" s="1">
        <f>VLOOKUP(B104,'App 4 - Recyclables'!$B$6:$T$133,19,FALSE)</f>
        <v>0</v>
      </c>
      <c r="U104" s="1">
        <f>VLOOKUP(B104,'App 5 - Organics'!$B$5:$T$132,19,FALSE)</f>
        <v>0</v>
      </c>
      <c r="V104" s="460"/>
      <c r="W104" s="1">
        <v>8295.2000000000007</v>
      </c>
      <c r="X104" s="1">
        <v>1851.5000000000009</v>
      </c>
      <c r="Y104" s="1">
        <v>6443.7</v>
      </c>
      <c r="Z104" s="460"/>
      <c r="AA104" s="462">
        <f t="shared" si="8"/>
        <v>44461.299999999996</v>
      </c>
      <c r="AB104" s="460"/>
      <c r="AC104" s="463">
        <f t="shared" si="10"/>
        <v>44479.5</v>
      </c>
      <c r="AD104" s="463">
        <f t="shared" si="10"/>
        <v>2403.2000000000007</v>
      </c>
      <c r="AE104" s="463">
        <f t="shared" si="10"/>
        <v>42076.299999999996</v>
      </c>
      <c r="AF104" s="463">
        <f t="shared" si="11"/>
        <v>2385</v>
      </c>
      <c r="AG104" s="463">
        <f t="shared" si="11"/>
        <v>0</v>
      </c>
      <c r="AH104" s="4"/>
      <c r="AI104" s="227">
        <v>686.33</v>
      </c>
      <c r="AJ104" s="227">
        <v>0</v>
      </c>
      <c r="AK104" s="227">
        <v>686.33</v>
      </c>
    </row>
    <row r="105" spans="1:37" x14ac:dyDescent="0.2">
      <c r="A105" s="8">
        <v>17000</v>
      </c>
      <c r="B105" s="8" t="s">
        <v>150</v>
      </c>
      <c r="C105" s="8" t="s">
        <v>23</v>
      </c>
      <c r="D105" s="29" t="s">
        <v>3</v>
      </c>
      <c r="E105" s="323"/>
      <c r="F105" s="1">
        <v>6097.06</v>
      </c>
      <c r="G105" s="1">
        <v>0</v>
      </c>
      <c r="H105" s="1">
        <f t="shared" si="7"/>
        <v>6097.06</v>
      </c>
      <c r="I105" s="460"/>
      <c r="J105" s="1">
        <f>VLOOKUP(B105,'App 4 - Recyclables'!$B$6:$H$133,7,FALSE)</f>
        <v>89.41</v>
      </c>
      <c r="K105" s="1">
        <f>VLOOKUP(B105,'App 5 - Organics'!$B$5:$AB$132,27,FALSE)</f>
        <v>21.81</v>
      </c>
      <c r="L105" s="461"/>
      <c r="M105" s="1">
        <f>VLOOKUP(B105,'App 4 - Recyclables'!$B$6:$P$133,15,FALSE)</f>
        <v>0</v>
      </c>
      <c r="N105" s="1">
        <f>VLOOKUP(B105,'App 5 - Organics'!$B$5:$P$132,15,FALSE)</f>
        <v>0</v>
      </c>
      <c r="O105" s="460"/>
      <c r="P105" s="1">
        <v>3136.15</v>
      </c>
      <c r="Q105" s="1">
        <v>172.61999999999989</v>
      </c>
      <c r="R105" s="1">
        <v>2963.53</v>
      </c>
      <c r="S105" s="460"/>
      <c r="T105" s="1">
        <f>VLOOKUP(B105,'App 4 - Recyclables'!$B$6:$T$133,19,FALSE)</f>
        <v>0</v>
      </c>
      <c r="U105" s="1">
        <f>VLOOKUP(B105,'App 5 - Organics'!$B$5:$T$132,19,FALSE)</f>
        <v>0</v>
      </c>
      <c r="V105" s="460"/>
      <c r="W105" s="1">
        <v>441.48</v>
      </c>
      <c r="X105" s="1">
        <v>14</v>
      </c>
      <c r="Y105" s="1">
        <v>427.48</v>
      </c>
      <c r="Z105" s="460"/>
      <c r="AA105" s="462">
        <f t="shared" si="8"/>
        <v>9599.2900000000009</v>
      </c>
      <c r="AB105" s="460"/>
      <c r="AC105" s="463">
        <f t="shared" si="10"/>
        <v>9674.69</v>
      </c>
      <c r="AD105" s="463">
        <f t="shared" si="10"/>
        <v>186.61999999999989</v>
      </c>
      <c r="AE105" s="463">
        <f t="shared" si="10"/>
        <v>9488.07</v>
      </c>
      <c r="AF105" s="463">
        <f t="shared" si="11"/>
        <v>89.41</v>
      </c>
      <c r="AG105" s="463">
        <f t="shared" si="11"/>
        <v>21.81</v>
      </c>
      <c r="AH105" s="4"/>
      <c r="AI105" s="227">
        <v>0</v>
      </c>
      <c r="AJ105" s="227">
        <v>0</v>
      </c>
      <c r="AK105" s="227">
        <v>0</v>
      </c>
    </row>
    <row r="106" spans="1:37" x14ac:dyDescent="0.2">
      <c r="A106" s="8">
        <v>17040</v>
      </c>
      <c r="B106" s="8" t="s">
        <v>151</v>
      </c>
      <c r="C106" s="8" t="s">
        <v>67</v>
      </c>
      <c r="D106" s="29" t="s">
        <v>1</v>
      </c>
      <c r="E106" s="323"/>
      <c r="F106" s="1">
        <v>3922.27</v>
      </c>
      <c r="G106" s="1">
        <v>0</v>
      </c>
      <c r="H106" s="1">
        <f t="shared" si="7"/>
        <v>3922.27</v>
      </c>
      <c r="I106" s="460"/>
      <c r="J106" s="1">
        <f>VLOOKUP(B106,'App 4 - Recyclables'!$B$6:$H$133,7,FALSE)</f>
        <v>0</v>
      </c>
      <c r="K106" s="1">
        <f>VLOOKUP(B106,'App 5 - Organics'!$B$5:$AB$132,27,FALSE)</f>
        <v>33</v>
      </c>
      <c r="L106" s="461"/>
      <c r="M106" s="1">
        <f>VLOOKUP(B106,'App 4 - Recyclables'!$B$6:$P$133,15,FALSE)</f>
        <v>0</v>
      </c>
      <c r="N106" s="1">
        <f>VLOOKUP(B106,'App 5 - Organics'!$B$5:$P$132,15,FALSE)</f>
        <v>0</v>
      </c>
      <c r="O106" s="460"/>
      <c r="P106" s="1">
        <v>8766.6200000000008</v>
      </c>
      <c r="Q106" s="1">
        <v>7521.5600000000013</v>
      </c>
      <c r="R106" s="1">
        <v>1245.06</v>
      </c>
      <c r="S106" s="460"/>
      <c r="T106" s="1">
        <f>VLOOKUP(B106,'App 4 - Recyclables'!$B$6:$T$133,19,FALSE)</f>
        <v>0</v>
      </c>
      <c r="U106" s="1">
        <f>VLOOKUP(B106,'App 5 - Organics'!$B$5:$T$132,19,FALSE)</f>
        <v>0</v>
      </c>
      <c r="V106" s="460"/>
      <c r="W106" s="1">
        <v>0</v>
      </c>
      <c r="X106" s="1">
        <v>0</v>
      </c>
      <c r="Y106" s="1">
        <v>0</v>
      </c>
      <c r="Z106" s="460"/>
      <c r="AA106" s="462">
        <f t="shared" si="8"/>
        <v>5200.33</v>
      </c>
      <c r="AB106" s="460"/>
      <c r="AC106" s="463">
        <f t="shared" si="10"/>
        <v>12688.890000000001</v>
      </c>
      <c r="AD106" s="463">
        <f t="shared" si="10"/>
        <v>7521.5600000000013</v>
      </c>
      <c r="AE106" s="463">
        <f t="shared" si="10"/>
        <v>5167.33</v>
      </c>
      <c r="AF106" s="463">
        <f t="shared" si="11"/>
        <v>0</v>
      </c>
      <c r="AG106" s="463">
        <f t="shared" si="11"/>
        <v>33</v>
      </c>
      <c r="AH106" s="4"/>
      <c r="AI106" s="227">
        <v>0</v>
      </c>
      <c r="AJ106" s="227">
        <v>0</v>
      </c>
      <c r="AK106" s="227">
        <v>0</v>
      </c>
    </row>
    <row r="107" spans="1:37" x14ac:dyDescent="0.2">
      <c r="A107" s="8">
        <v>17080</v>
      </c>
      <c r="B107" s="8" t="s">
        <v>152</v>
      </c>
      <c r="C107" s="8" t="s">
        <v>67</v>
      </c>
      <c r="D107" s="29" t="s">
        <v>1</v>
      </c>
      <c r="E107" s="323"/>
      <c r="F107" s="1">
        <v>4986.88</v>
      </c>
      <c r="G107" s="1">
        <v>0</v>
      </c>
      <c r="H107" s="1">
        <f t="shared" si="7"/>
        <v>4986.88</v>
      </c>
      <c r="I107" s="460"/>
      <c r="J107" s="1">
        <f>VLOOKUP(B107,'App 4 - Recyclables'!$B$6:$H$133,7,FALSE)</f>
        <v>220</v>
      </c>
      <c r="K107" s="1">
        <f>VLOOKUP(B107,'App 5 - Organics'!$B$5:$AB$132,27,FALSE)</f>
        <v>21.32</v>
      </c>
      <c r="L107" s="461"/>
      <c r="M107" s="1">
        <f>VLOOKUP(B107,'App 4 - Recyclables'!$B$6:$P$133,15,FALSE)</f>
        <v>0</v>
      </c>
      <c r="N107" s="1">
        <f>VLOOKUP(B107,'App 5 - Organics'!$B$5:$P$132,15,FALSE)</f>
        <v>0</v>
      </c>
      <c r="O107" s="460"/>
      <c r="P107" s="1">
        <v>1732</v>
      </c>
      <c r="Q107" s="1">
        <v>0</v>
      </c>
      <c r="R107" s="1">
        <v>1732</v>
      </c>
      <c r="S107" s="460"/>
      <c r="T107" s="1">
        <f>VLOOKUP(B107,'App 4 - Recyclables'!$B$6:$T$133,19,FALSE)</f>
        <v>0</v>
      </c>
      <c r="U107" s="1">
        <f>VLOOKUP(B107,'App 5 - Organics'!$B$5:$T$132,19,FALSE)</f>
        <v>0</v>
      </c>
      <c r="V107" s="460"/>
      <c r="W107" s="1">
        <v>0</v>
      </c>
      <c r="X107" s="1">
        <v>0</v>
      </c>
      <c r="Y107" s="1">
        <v>0</v>
      </c>
      <c r="Z107" s="460"/>
      <c r="AA107" s="462">
        <f t="shared" si="8"/>
        <v>6960.2</v>
      </c>
      <c r="AB107" s="460"/>
      <c r="AC107" s="463">
        <f t="shared" si="10"/>
        <v>6718.88</v>
      </c>
      <c r="AD107" s="463">
        <f t="shared" si="10"/>
        <v>0</v>
      </c>
      <c r="AE107" s="463">
        <f t="shared" si="10"/>
        <v>6718.88</v>
      </c>
      <c r="AF107" s="463">
        <f t="shared" si="11"/>
        <v>220</v>
      </c>
      <c r="AG107" s="463">
        <f t="shared" si="11"/>
        <v>21.32</v>
      </c>
      <c r="AH107" s="4"/>
      <c r="AI107" s="227">
        <v>0</v>
      </c>
      <c r="AJ107" s="227">
        <v>0</v>
      </c>
      <c r="AK107" s="227">
        <v>0</v>
      </c>
    </row>
    <row r="108" spans="1:37" x14ac:dyDescent="0.2">
      <c r="A108" s="8">
        <v>17100</v>
      </c>
      <c r="B108" s="8" t="s">
        <v>153</v>
      </c>
      <c r="C108" s="8"/>
      <c r="D108" s="29" t="s">
        <v>2</v>
      </c>
      <c r="E108" s="323"/>
      <c r="F108" s="1">
        <v>10936.72</v>
      </c>
      <c r="G108" s="1">
        <v>0</v>
      </c>
      <c r="H108" s="1">
        <f t="shared" si="7"/>
        <v>10936.72</v>
      </c>
      <c r="I108" s="460"/>
      <c r="J108" s="1">
        <f>VLOOKUP(B108,'App 4 - Recyclables'!$B$6:$H$133,7,FALSE)</f>
        <v>716</v>
      </c>
      <c r="K108" s="1">
        <f>VLOOKUP(B108,'App 5 - Organics'!$B$5:$AB$132,27,FALSE)</f>
        <v>249</v>
      </c>
      <c r="L108" s="461"/>
      <c r="M108" s="1">
        <f>VLOOKUP(B108,'App 4 - Recyclables'!$B$6:$P$133,15,FALSE)</f>
        <v>0</v>
      </c>
      <c r="N108" s="1">
        <f>VLOOKUP(B108,'App 5 - Organics'!$B$5:$P$132,15,FALSE)</f>
        <v>0</v>
      </c>
      <c r="O108" s="460"/>
      <c r="P108" s="1">
        <v>227.76</v>
      </c>
      <c r="Q108" s="1">
        <v>227.76</v>
      </c>
      <c r="R108" s="1">
        <v>0</v>
      </c>
      <c r="S108" s="460"/>
      <c r="T108" s="1">
        <f>VLOOKUP(B108,'App 4 - Recyclables'!$B$6:$T$133,19,FALSE)</f>
        <v>0</v>
      </c>
      <c r="U108" s="1">
        <f>VLOOKUP(B108,'App 5 - Organics'!$B$5:$T$132,19,FALSE)</f>
        <v>0</v>
      </c>
      <c r="V108" s="460"/>
      <c r="W108" s="1">
        <v>955.09</v>
      </c>
      <c r="X108" s="1">
        <v>0</v>
      </c>
      <c r="Y108" s="1">
        <v>955.09</v>
      </c>
      <c r="Z108" s="460"/>
      <c r="AA108" s="462">
        <f t="shared" si="8"/>
        <v>12856.81</v>
      </c>
      <c r="AB108" s="460"/>
      <c r="AC108" s="463">
        <f t="shared" si="10"/>
        <v>12119.57</v>
      </c>
      <c r="AD108" s="463">
        <f t="shared" si="10"/>
        <v>227.76</v>
      </c>
      <c r="AE108" s="463">
        <f t="shared" si="10"/>
        <v>11891.81</v>
      </c>
      <c r="AF108" s="463">
        <f t="shared" si="11"/>
        <v>716</v>
      </c>
      <c r="AG108" s="463">
        <f t="shared" si="11"/>
        <v>249</v>
      </c>
      <c r="AH108" s="4"/>
      <c r="AI108" s="227">
        <v>0</v>
      </c>
      <c r="AJ108" s="227">
        <v>0</v>
      </c>
      <c r="AK108" s="227">
        <v>0</v>
      </c>
    </row>
    <row r="109" spans="1:37" x14ac:dyDescent="0.2">
      <c r="A109" s="8">
        <v>17150</v>
      </c>
      <c r="B109" s="8" t="s">
        <v>154</v>
      </c>
      <c r="C109" s="8" t="s">
        <v>17</v>
      </c>
      <c r="D109" s="29" t="s">
        <v>2</v>
      </c>
      <c r="E109" s="323"/>
      <c r="F109" s="1">
        <v>47675</v>
      </c>
      <c r="G109" s="1">
        <v>0</v>
      </c>
      <c r="H109" s="1">
        <f t="shared" si="7"/>
        <v>47675</v>
      </c>
      <c r="I109" s="460"/>
      <c r="J109" s="1">
        <f>VLOOKUP(B109,'App 4 - Recyclables'!$B$6:$H$133,7,FALSE)</f>
        <v>1788</v>
      </c>
      <c r="K109" s="1">
        <f>VLOOKUP(B109,'App 5 - Organics'!$B$5:$AB$132,27,FALSE)</f>
        <v>0</v>
      </c>
      <c r="L109" s="461"/>
      <c r="M109" s="1">
        <f>VLOOKUP(B109,'App 4 - Recyclables'!$B$6:$P$133,15,FALSE)</f>
        <v>0</v>
      </c>
      <c r="N109" s="1">
        <f>VLOOKUP(B109,'App 5 - Organics'!$B$5:$P$132,15,FALSE)</f>
        <v>0</v>
      </c>
      <c r="O109" s="460"/>
      <c r="P109" s="1">
        <v>159</v>
      </c>
      <c r="Q109" s="1">
        <v>159</v>
      </c>
      <c r="R109" s="1">
        <v>0</v>
      </c>
      <c r="S109" s="460"/>
      <c r="T109" s="1">
        <f>VLOOKUP(B109,'App 4 - Recyclables'!$B$6:$T$133,19,FALSE)</f>
        <v>113</v>
      </c>
      <c r="U109" s="1">
        <f>VLOOKUP(B109,'App 5 - Organics'!$B$5:$T$132,19,FALSE)</f>
        <v>0</v>
      </c>
      <c r="V109" s="460"/>
      <c r="W109" s="1">
        <v>8943</v>
      </c>
      <c r="X109" s="1">
        <v>0</v>
      </c>
      <c r="Y109" s="1">
        <v>8943</v>
      </c>
      <c r="Z109" s="460"/>
      <c r="AA109" s="462">
        <f t="shared" si="8"/>
        <v>58519</v>
      </c>
      <c r="AB109" s="460"/>
      <c r="AC109" s="463">
        <f t="shared" si="10"/>
        <v>56777</v>
      </c>
      <c r="AD109" s="463">
        <f t="shared" si="10"/>
        <v>159</v>
      </c>
      <c r="AE109" s="463">
        <f t="shared" si="10"/>
        <v>56618</v>
      </c>
      <c r="AF109" s="463">
        <f t="shared" si="11"/>
        <v>1901</v>
      </c>
      <c r="AG109" s="463">
        <f t="shared" si="11"/>
        <v>0</v>
      </c>
      <c r="AH109" s="4"/>
      <c r="AI109" s="227">
        <v>0</v>
      </c>
      <c r="AJ109" s="227">
        <v>0</v>
      </c>
      <c r="AK109" s="227">
        <v>0</v>
      </c>
    </row>
    <row r="110" spans="1:37" x14ac:dyDescent="0.2">
      <c r="A110" s="8">
        <v>17200</v>
      </c>
      <c r="B110" s="8" t="s">
        <v>61</v>
      </c>
      <c r="C110" s="8" t="s">
        <v>17</v>
      </c>
      <c r="D110" s="29" t="s">
        <v>2</v>
      </c>
      <c r="E110" s="323"/>
      <c r="F110" s="1">
        <v>43091</v>
      </c>
      <c r="G110" s="1">
        <v>12733</v>
      </c>
      <c r="H110" s="1">
        <f t="shared" si="7"/>
        <v>30358</v>
      </c>
      <c r="I110" s="460"/>
      <c r="J110" s="1">
        <f>VLOOKUP(B110,'App 4 - Recyclables'!$B$6:$H$133,7,FALSE)</f>
        <v>1101</v>
      </c>
      <c r="K110" s="1">
        <f>VLOOKUP(B110,'App 5 - Organics'!$B$5:$AB$132,27,FALSE)</f>
        <v>100</v>
      </c>
      <c r="L110" s="461"/>
      <c r="M110" s="1">
        <f>VLOOKUP(B110,'App 4 - Recyclables'!$B$6:$P$133,15,FALSE)</f>
        <v>0</v>
      </c>
      <c r="N110" s="1">
        <f>VLOOKUP(B110,'App 5 - Organics'!$B$5:$P$132,15,FALSE)</f>
        <v>0</v>
      </c>
      <c r="O110" s="460"/>
      <c r="P110" s="1">
        <v>1.4</v>
      </c>
      <c r="Q110" s="1">
        <v>1.4</v>
      </c>
      <c r="R110" s="1">
        <v>0</v>
      </c>
      <c r="S110" s="460"/>
      <c r="T110" s="1">
        <f>VLOOKUP(B110,'App 4 - Recyclables'!$B$6:$T$133,19,FALSE)</f>
        <v>127</v>
      </c>
      <c r="U110" s="1">
        <f>VLOOKUP(B110,'App 5 - Organics'!$B$5:$T$132,19,FALSE)</f>
        <v>0</v>
      </c>
      <c r="V110" s="460"/>
      <c r="W110" s="1">
        <v>3465</v>
      </c>
      <c r="X110" s="1">
        <v>3226</v>
      </c>
      <c r="Y110" s="1">
        <v>239</v>
      </c>
      <c r="Z110" s="460"/>
      <c r="AA110" s="462">
        <f t="shared" si="8"/>
        <v>31925</v>
      </c>
      <c r="AB110" s="460"/>
      <c r="AC110" s="463">
        <f t="shared" si="10"/>
        <v>46557.4</v>
      </c>
      <c r="AD110" s="463">
        <f t="shared" si="10"/>
        <v>15960.4</v>
      </c>
      <c r="AE110" s="463">
        <f t="shared" si="10"/>
        <v>30597</v>
      </c>
      <c r="AF110" s="463">
        <f t="shared" si="11"/>
        <v>1228</v>
      </c>
      <c r="AG110" s="463">
        <f t="shared" si="11"/>
        <v>100</v>
      </c>
      <c r="AH110" s="4"/>
      <c r="AI110" s="227">
        <v>942</v>
      </c>
      <c r="AJ110" s="227">
        <v>846</v>
      </c>
      <c r="AK110" s="227">
        <v>96</v>
      </c>
    </row>
    <row r="111" spans="1:37" x14ac:dyDescent="0.2">
      <c r="A111" s="8">
        <v>17310</v>
      </c>
      <c r="B111" s="8" t="s">
        <v>155</v>
      </c>
      <c r="C111" s="8" t="s">
        <v>16</v>
      </c>
      <c r="D111" s="29" t="s">
        <v>1</v>
      </c>
      <c r="E111" s="323"/>
      <c r="F111" s="1">
        <v>15609.9</v>
      </c>
      <c r="G111" s="1">
        <v>0</v>
      </c>
      <c r="H111" s="1">
        <f t="shared" si="7"/>
        <v>15609.9</v>
      </c>
      <c r="I111" s="460"/>
      <c r="J111" s="1">
        <f>VLOOKUP(B111,'App 4 - Recyclables'!$B$6:$H$133,7,FALSE)</f>
        <v>11.3</v>
      </c>
      <c r="K111" s="1">
        <f>VLOOKUP(B111,'App 5 - Organics'!$B$5:$AB$132,27,FALSE)</f>
        <v>3.6</v>
      </c>
      <c r="L111" s="461"/>
      <c r="M111" s="1">
        <f>VLOOKUP(B111,'App 4 - Recyclables'!$B$6:$P$133,15,FALSE)</f>
        <v>0</v>
      </c>
      <c r="N111" s="1">
        <f>VLOOKUP(B111,'App 5 - Organics'!$B$5:$P$132,15,FALSE)</f>
        <v>0</v>
      </c>
      <c r="O111" s="460"/>
      <c r="P111" s="1">
        <v>3607.1</v>
      </c>
      <c r="Q111" s="1">
        <v>8.0999999999999091</v>
      </c>
      <c r="R111" s="1">
        <v>3599</v>
      </c>
      <c r="S111" s="460"/>
      <c r="T111" s="1">
        <f>VLOOKUP(B111,'App 4 - Recyclables'!$B$6:$T$133,19,FALSE)</f>
        <v>0</v>
      </c>
      <c r="U111" s="1">
        <f>VLOOKUP(B111,'App 5 - Organics'!$B$5:$T$132,19,FALSE)</f>
        <v>0</v>
      </c>
      <c r="V111" s="460"/>
      <c r="W111" s="1">
        <v>0.96</v>
      </c>
      <c r="X111" s="1">
        <v>0</v>
      </c>
      <c r="Y111" s="1">
        <v>0.96</v>
      </c>
      <c r="Z111" s="460"/>
      <c r="AA111" s="462">
        <f t="shared" si="8"/>
        <v>19224.759999999998</v>
      </c>
      <c r="AB111" s="460"/>
      <c r="AC111" s="463">
        <f t="shared" si="10"/>
        <v>19217.96</v>
      </c>
      <c r="AD111" s="463">
        <f t="shared" si="10"/>
        <v>8.0999999999999091</v>
      </c>
      <c r="AE111" s="463">
        <f t="shared" si="10"/>
        <v>19209.86</v>
      </c>
      <c r="AF111" s="463">
        <f t="shared" si="11"/>
        <v>11.3</v>
      </c>
      <c r="AG111" s="463">
        <f t="shared" si="11"/>
        <v>3.6</v>
      </c>
      <c r="AH111" s="4"/>
      <c r="AI111" s="227">
        <v>720</v>
      </c>
      <c r="AJ111" s="227">
        <v>0</v>
      </c>
      <c r="AK111" s="227">
        <v>720</v>
      </c>
    </row>
    <row r="112" spans="1:37" x14ac:dyDescent="0.2">
      <c r="A112" s="8">
        <v>17350</v>
      </c>
      <c r="B112" s="8" t="s">
        <v>156</v>
      </c>
      <c r="C112" s="8" t="s">
        <v>21</v>
      </c>
      <c r="D112" s="29" t="s">
        <v>1</v>
      </c>
      <c r="E112" s="323"/>
      <c r="F112" s="1">
        <v>2290</v>
      </c>
      <c r="G112" s="1">
        <v>0</v>
      </c>
      <c r="H112" s="1">
        <f t="shared" si="7"/>
        <v>2290</v>
      </c>
      <c r="I112" s="460"/>
      <c r="J112" s="1">
        <f>VLOOKUP(B112,'App 4 - Recyclables'!$B$6:$H$133,7,FALSE)</f>
        <v>0</v>
      </c>
      <c r="K112" s="1">
        <f>VLOOKUP(B112,'App 5 - Organics'!$B$5:$AB$132,27,FALSE)</f>
        <v>0</v>
      </c>
      <c r="L112" s="461"/>
      <c r="M112" s="1">
        <f>VLOOKUP(B112,'App 4 - Recyclables'!$B$6:$P$133,15,FALSE)</f>
        <v>0</v>
      </c>
      <c r="N112" s="1">
        <f>VLOOKUP(B112,'App 5 - Organics'!$B$5:$P$132,15,FALSE)</f>
        <v>0</v>
      </c>
      <c r="O112" s="460"/>
      <c r="P112" s="1">
        <v>2850</v>
      </c>
      <c r="Q112" s="1">
        <v>650</v>
      </c>
      <c r="R112" s="1">
        <v>2200</v>
      </c>
      <c r="S112" s="460"/>
      <c r="T112" s="1">
        <f>VLOOKUP(B112,'App 4 - Recyclables'!$B$6:$T$133,19,FALSE)</f>
        <v>0</v>
      </c>
      <c r="U112" s="1">
        <f>VLOOKUP(B112,'App 5 - Organics'!$B$5:$T$132,19,FALSE)</f>
        <v>5</v>
      </c>
      <c r="V112" s="460"/>
      <c r="W112" s="1">
        <v>25</v>
      </c>
      <c r="X112" s="1">
        <v>0</v>
      </c>
      <c r="Y112" s="1">
        <v>25</v>
      </c>
      <c r="Z112" s="460"/>
      <c r="AA112" s="462">
        <f t="shared" si="8"/>
        <v>4520</v>
      </c>
      <c r="AB112" s="460"/>
      <c r="AC112" s="463">
        <f t="shared" si="10"/>
        <v>5165</v>
      </c>
      <c r="AD112" s="463">
        <f t="shared" si="10"/>
        <v>650</v>
      </c>
      <c r="AE112" s="463">
        <f t="shared" si="10"/>
        <v>4515</v>
      </c>
      <c r="AF112" s="463">
        <f t="shared" si="11"/>
        <v>0</v>
      </c>
      <c r="AG112" s="463">
        <f t="shared" si="11"/>
        <v>5</v>
      </c>
      <c r="AH112" s="4"/>
      <c r="AI112" s="227">
        <v>0</v>
      </c>
      <c r="AJ112" s="227">
        <v>0</v>
      </c>
      <c r="AK112" s="227">
        <v>0</v>
      </c>
    </row>
    <row r="113" spans="1:37" x14ac:dyDescent="0.2">
      <c r="A113" s="8">
        <v>17400</v>
      </c>
      <c r="B113" s="8" t="s">
        <v>157</v>
      </c>
      <c r="C113" s="8" t="s">
        <v>16</v>
      </c>
      <c r="D113" s="29" t="s">
        <v>1</v>
      </c>
      <c r="E113" s="323"/>
      <c r="F113" s="1">
        <v>2183</v>
      </c>
      <c r="G113" s="1">
        <v>0</v>
      </c>
      <c r="H113" s="1">
        <f t="shared" si="7"/>
        <v>2183</v>
      </c>
      <c r="I113" s="460"/>
      <c r="J113" s="1">
        <f>VLOOKUP(B113,'App 4 - Recyclables'!$B$6:$H$133,7,FALSE)</f>
        <v>1</v>
      </c>
      <c r="K113" s="1">
        <f>VLOOKUP(B113,'App 5 - Organics'!$B$5:$AB$132,27,FALSE)</f>
        <v>0</v>
      </c>
      <c r="L113" s="461"/>
      <c r="M113" s="1">
        <f>VLOOKUP(B113,'App 4 - Recyclables'!$B$6:$P$133,15,FALSE)</f>
        <v>0</v>
      </c>
      <c r="N113" s="1">
        <f>VLOOKUP(B113,'App 5 - Organics'!$B$5:$P$132,15,FALSE)</f>
        <v>0</v>
      </c>
      <c r="O113" s="460"/>
      <c r="P113" s="1">
        <v>0</v>
      </c>
      <c r="Q113" s="1">
        <v>0</v>
      </c>
      <c r="R113" s="1">
        <v>0</v>
      </c>
      <c r="S113" s="460"/>
      <c r="T113" s="1">
        <f>VLOOKUP(B113,'App 4 - Recyclables'!$B$6:$T$133,19,FALSE)</f>
        <v>0</v>
      </c>
      <c r="U113" s="1">
        <f>VLOOKUP(B113,'App 5 - Organics'!$B$5:$T$132,19,FALSE)</f>
        <v>0</v>
      </c>
      <c r="V113" s="460"/>
      <c r="W113" s="1">
        <v>0</v>
      </c>
      <c r="X113" s="1">
        <v>0</v>
      </c>
      <c r="Y113" s="1">
        <v>0</v>
      </c>
      <c r="Z113" s="460"/>
      <c r="AA113" s="462">
        <f t="shared" si="8"/>
        <v>2184</v>
      </c>
      <c r="AB113" s="460"/>
      <c r="AC113" s="463">
        <f t="shared" si="10"/>
        <v>2183</v>
      </c>
      <c r="AD113" s="463">
        <f t="shared" si="10"/>
        <v>0</v>
      </c>
      <c r="AE113" s="463">
        <f t="shared" si="10"/>
        <v>2183</v>
      </c>
      <c r="AF113" s="463">
        <f t="shared" si="11"/>
        <v>1</v>
      </c>
      <c r="AG113" s="463">
        <f t="shared" si="11"/>
        <v>0</v>
      </c>
      <c r="AH113" s="4"/>
      <c r="AI113" s="227">
        <v>70</v>
      </c>
      <c r="AJ113" s="227">
        <v>0</v>
      </c>
      <c r="AK113" s="227">
        <v>70</v>
      </c>
    </row>
    <row r="114" spans="1:37" x14ac:dyDescent="0.2">
      <c r="A114" s="8">
        <v>17420</v>
      </c>
      <c r="B114" s="8" t="s">
        <v>158</v>
      </c>
      <c r="C114" s="8" t="s">
        <v>18</v>
      </c>
      <c r="D114" s="29" t="s">
        <v>2</v>
      </c>
      <c r="E114" s="323"/>
      <c r="F114" s="1">
        <v>42621.09</v>
      </c>
      <c r="G114" s="1">
        <v>0</v>
      </c>
      <c r="H114" s="1">
        <f t="shared" si="7"/>
        <v>42621.09</v>
      </c>
      <c r="I114" s="460"/>
      <c r="J114" s="1">
        <f>VLOOKUP(B114,'App 4 - Recyclables'!$B$6:$H$133,7,FALSE)</f>
        <v>1281.28</v>
      </c>
      <c r="K114" s="1">
        <f>VLOOKUP(B114,'App 5 - Organics'!$B$5:$AB$132,27,FALSE)</f>
        <v>95.37</v>
      </c>
      <c r="L114" s="461"/>
      <c r="M114" s="1">
        <f>VLOOKUP(B114,'App 4 - Recyclables'!$B$6:$P$133,15,FALSE)</f>
        <v>0</v>
      </c>
      <c r="N114" s="1">
        <f>VLOOKUP(B114,'App 5 - Organics'!$B$5:$P$132,15,FALSE)</f>
        <v>0</v>
      </c>
      <c r="O114" s="460"/>
      <c r="P114" s="1">
        <v>0</v>
      </c>
      <c r="Q114" s="1">
        <v>0</v>
      </c>
      <c r="R114" s="1">
        <v>0</v>
      </c>
      <c r="S114" s="460"/>
      <c r="T114" s="1">
        <f>VLOOKUP(B114,'App 4 - Recyclables'!$B$6:$T$133,19,FALSE)</f>
        <v>306.77</v>
      </c>
      <c r="U114" s="1">
        <f>VLOOKUP(B114,'App 5 - Organics'!$B$5:$T$132,19,FALSE)</f>
        <v>0</v>
      </c>
      <c r="V114" s="460"/>
      <c r="W114" s="1">
        <v>7050</v>
      </c>
      <c r="X114" s="1">
        <v>0</v>
      </c>
      <c r="Y114" s="1">
        <v>7050</v>
      </c>
      <c r="Z114" s="460"/>
      <c r="AA114" s="462">
        <f t="shared" si="8"/>
        <v>51354.509999999995</v>
      </c>
      <c r="AB114" s="460"/>
      <c r="AC114" s="463">
        <f t="shared" si="10"/>
        <v>49671.09</v>
      </c>
      <c r="AD114" s="463">
        <f t="shared" si="10"/>
        <v>0</v>
      </c>
      <c r="AE114" s="463">
        <f t="shared" si="10"/>
        <v>49671.09</v>
      </c>
      <c r="AF114" s="463">
        <f t="shared" si="11"/>
        <v>1588.05</v>
      </c>
      <c r="AG114" s="463">
        <f t="shared" si="11"/>
        <v>95.37</v>
      </c>
      <c r="AH114" s="4"/>
      <c r="AI114" s="227">
        <v>0</v>
      </c>
      <c r="AJ114" s="227">
        <v>0</v>
      </c>
      <c r="AK114" s="227">
        <v>0</v>
      </c>
    </row>
    <row r="115" spans="1:37" x14ac:dyDescent="0.2">
      <c r="A115" s="8">
        <v>17550</v>
      </c>
      <c r="B115" s="8" t="s">
        <v>159</v>
      </c>
      <c r="C115" s="8" t="s">
        <v>19</v>
      </c>
      <c r="D115" s="29" t="s">
        <v>3</v>
      </c>
      <c r="E115" s="323"/>
      <c r="F115" s="1">
        <v>13090</v>
      </c>
      <c r="G115" s="1">
        <v>0</v>
      </c>
      <c r="H115" s="1">
        <f t="shared" si="7"/>
        <v>13090</v>
      </c>
      <c r="I115" s="460"/>
      <c r="J115" s="1">
        <f>VLOOKUP(B115,'App 4 - Recyclables'!$B$6:$H$133,7,FALSE)</f>
        <v>1163</v>
      </c>
      <c r="K115" s="1">
        <f>VLOOKUP(B115,'App 5 - Organics'!$B$5:$AB$132,27,FALSE)</f>
        <v>120</v>
      </c>
      <c r="L115" s="461"/>
      <c r="M115" s="1">
        <f>VLOOKUP(B115,'App 4 - Recyclables'!$B$6:$P$133,15,FALSE)</f>
        <v>18</v>
      </c>
      <c r="N115" s="1">
        <f>VLOOKUP(B115,'App 5 - Organics'!$B$5:$P$132,15,FALSE)</f>
        <v>0</v>
      </c>
      <c r="O115" s="460"/>
      <c r="P115" s="1">
        <v>6523.5</v>
      </c>
      <c r="Q115" s="1">
        <v>8</v>
      </c>
      <c r="R115" s="1">
        <v>6515.5</v>
      </c>
      <c r="S115" s="460"/>
      <c r="T115" s="1">
        <f>VLOOKUP(B115,'App 4 - Recyclables'!$B$6:$T$133,19,FALSE)</f>
        <v>0</v>
      </c>
      <c r="U115" s="1">
        <f>VLOOKUP(B115,'App 5 - Organics'!$B$5:$T$132,19,FALSE)</f>
        <v>0</v>
      </c>
      <c r="V115" s="460"/>
      <c r="W115" s="1">
        <v>1066</v>
      </c>
      <c r="X115" s="1">
        <v>0</v>
      </c>
      <c r="Y115" s="1">
        <v>1066</v>
      </c>
      <c r="Z115" s="460"/>
      <c r="AA115" s="462">
        <f t="shared" si="8"/>
        <v>21972.5</v>
      </c>
      <c r="AB115" s="460"/>
      <c r="AC115" s="463">
        <f t="shared" si="10"/>
        <v>20679.5</v>
      </c>
      <c r="AD115" s="463">
        <f t="shared" si="10"/>
        <v>8</v>
      </c>
      <c r="AE115" s="463">
        <f t="shared" si="10"/>
        <v>20671.5</v>
      </c>
      <c r="AF115" s="463">
        <f t="shared" si="11"/>
        <v>1181</v>
      </c>
      <c r="AG115" s="463">
        <f t="shared" si="11"/>
        <v>120</v>
      </c>
      <c r="AH115" s="4"/>
      <c r="AI115" s="227">
        <v>514</v>
      </c>
      <c r="AJ115" s="227">
        <v>0</v>
      </c>
      <c r="AK115" s="227">
        <v>514</v>
      </c>
    </row>
    <row r="116" spans="1:37" x14ac:dyDescent="0.2">
      <c r="A116" s="8">
        <v>17620</v>
      </c>
      <c r="B116" s="8" t="s">
        <v>160</v>
      </c>
      <c r="C116" s="8" t="s">
        <v>23</v>
      </c>
      <c r="D116" s="29" t="s">
        <v>3</v>
      </c>
      <c r="E116" s="323"/>
      <c r="F116" s="1">
        <v>2160</v>
      </c>
      <c r="G116" s="1">
        <v>0</v>
      </c>
      <c r="H116" s="1">
        <f t="shared" si="7"/>
        <v>2160</v>
      </c>
      <c r="I116" s="460"/>
      <c r="J116" s="1">
        <f>VLOOKUP(B116,'App 4 - Recyclables'!$B$6:$H$133,7,FALSE)</f>
        <v>88</v>
      </c>
      <c r="K116" s="1">
        <f>VLOOKUP(B116,'App 5 - Organics'!$B$5:$AB$132,27,FALSE)</f>
        <v>44</v>
      </c>
      <c r="L116" s="461"/>
      <c r="M116" s="1">
        <f>VLOOKUP(B116,'App 4 - Recyclables'!$B$6:$P$133,15,FALSE)</f>
        <v>0</v>
      </c>
      <c r="N116" s="1">
        <f>VLOOKUP(B116,'App 5 - Organics'!$B$5:$P$132,15,FALSE)</f>
        <v>0</v>
      </c>
      <c r="O116" s="460"/>
      <c r="P116" s="1">
        <v>0</v>
      </c>
      <c r="Q116" s="1">
        <v>0</v>
      </c>
      <c r="R116" s="1">
        <v>0</v>
      </c>
      <c r="S116" s="460"/>
      <c r="T116" s="1">
        <f>VLOOKUP(B116,'App 4 - Recyclables'!$B$6:$T$133,19,FALSE)</f>
        <v>0</v>
      </c>
      <c r="U116" s="1">
        <f>VLOOKUP(B116,'App 5 - Organics'!$B$5:$T$132,19,FALSE)</f>
        <v>0</v>
      </c>
      <c r="V116" s="460"/>
      <c r="W116" s="1">
        <v>84.93</v>
      </c>
      <c r="X116" s="1">
        <v>0</v>
      </c>
      <c r="Y116" s="1">
        <v>84.93</v>
      </c>
      <c r="Z116" s="460"/>
      <c r="AA116" s="462">
        <f t="shared" si="8"/>
        <v>2376.9299999999998</v>
      </c>
      <c r="AB116" s="460"/>
      <c r="AC116" s="463">
        <f t="shared" si="10"/>
        <v>2244.9299999999998</v>
      </c>
      <c r="AD116" s="463">
        <f t="shared" si="10"/>
        <v>0</v>
      </c>
      <c r="AE116" s="463">
        <f t="shared" si="10"/>
        <v>2244.9299999999998</v>
      </c>
      <c r="AF116" s="463">
        <f t="shared" si="11"/>
        <v>88</v>
      </c>
      <c r="AG116" s="463">
        <f t="shared" si="11"/>
        <v>44</v>
      </c>
      <c r="AH116" s="4"/>
      <c r="AI116" s="227">
        <v>0</v>
      </c>
      <c r="AJ116" s="227">
        <v>0</v>
      </c>
      <c r="AK116" s="227">
        <v>0</v>
      </c>
    </row>
    <row r="117" spans="1:37" x14ac:dyDescent="0.2">
      <c r="A117" s="8">
        <v>17640</v>
      </c>
      <c r="B117" s="8" t="s">
        <v>161</v>
      </c>
      <c r="C117" s="8" t="s">
        <v>67</v>
      </c>
      <c r="D117" s="29" t="s">
        <v>1</v>
      </c>
      <c r="E117" s="323"/>
      <c r="F117" s="1">
        <v>3045</v>
      </c>
      <c r="G117" s="1">
        <v>0</v>
      </c>
      <c r="H117" s="1">
        <f t="shared" si="7"/>
        <v>3045</v>
      </c>
      <c r="I117" s="460"/>
      <c r="J117" s="1">
        <f>VLOOKUP(B117,'App 4 - Recyclables'!$B$6:$H$133,7,FALSE)</f>
        <v>520</v>
      </c>
      <c r="K117" s="1">
        <f>VLOOKUP(B117,'App 5 - Organics'!$B$5:$AB$132,27,FALSE)</f>
        <v>0</v>
      </c>
      <c r="L117" s="461"/>
      <c r="M117" s="1">
        <f>VLOOKUP(B117,'App 4 - Recyclables'!$B$6:$P$133,15,FALSE)</f>
        <v>0</v>
      </c>
      <c r="N117" s="1">
        <f>VLOOKUP(B117,'App 5 - Organics'!$B$5:$P$132,15,FALSE)</f>
        <v>0</v>
      </c>
      <c r="O117" s="460"/>
      <c r="P117" s="1">
        <v>0</v>
      </c>
      <c r="Q117" s="1">
        <v>0</v>
      </c>
      <c r="R117" s="1">
        <v>0</v>
      </c>
      <c r="S117" s="460"/>
      <c r="T117" s="1">
        <f>VLOOKUP(B117,'App 4 - Recyclables'!$B$6:$T$133,19,FALSE)</f>
        <v>0</v>
      </c>
      <c r="U117" s="1">
        <f>VLOOKUP(B117,'App 5 - Organics'!$B$5:$T$132,19,FALSE)</f>
        <v>0</v>
      </c>
      <c r="V117" s="460"/>
      <c r="W117" s="1">
        <v>0</v>
      </c>
      <c r="X117" s="1">
        <v>0</v>
      </c>
      <c r="Y117" s="1">
        <v>0</v>
      </c>
      <c r="Z117" s="460"/>
      <c r="AA117" s="462">
        <f t="shared" si="8"/>
        <v>3565</v>
      </c>
      <c r="AB117" s="460"/>
      <c r="AC117" s="463">
        <f t="shared" si="10"/>
        <v>3045</v>
      </c>
      <c r="AD117" s="463">
        <f t="shared" si="10"/>
        <v>0</v>
      </c>
      <c r="AE117" s="463">
        <f t="shared" si="10"/>
        <v>3045</v>
      </c>
      <c r="AF117" s="463">
        <f t="shared" si="11"/>
        <v>520</v>
      </c>
      <c r="AG117" s="463">
        <f t="shared" si="11"/>
        <v>0</v>
      </c>
      <c r="AH117" s="4"/>
      <c r="AI117" s="227">
        <v>0</v>
      </c>
      <c r="AJ117" s="227">
        <v>0</v>
      </c>
      <c r="AK117" s="227">
        <v>0</v>
      </c>
    </row>
    <row r="118" spans="1:37" x14ac:dyDescent="0.2">
      <c r="A118" s="8">
        <v>17650</v>
      </c>
      <c r="B118" s="8" t="s">
        <v>162</v>
      </c>
      <c r="C118" s="8" t="s">
        <v>16</v>
      </c>
      <c r="D118" s="29" t="s">
        <v>1</v>
      </c>
      <c r="E118" s="323"/>
      <c r="F118" s="1">
        <v>1156</v>
      </c>
      <c r="G118" s="1">
        <v>0</v>
      </c>
      <c r="H118" s="1">
        <f t="shared" si="7"/>
        <v>1156</v>
      </c>
      <c r="I118" s="460"/>
      <c r="J118" s="1">
        <f>VLOOKUP(B118,'App 4 - Recyclables'!$B$6:$H$133,7,FALSE)</f>
        <v>36</v>
      </c>
      <c r="K118" s="1">
        <f>VLOOKUP(B118,'App 5 - Organics'!$B$5:$AB$132,27,FALSE)</f>
        <v>0</v>
      </c>
      <c r="L118" s="461"/>
      <c r="M118" s="1">
        <f>VLOOKUP(B118,'App 4 - Recyclables'!$B$6:$P$133,15,FALSE)</f>
        <v>40</v>
      </c>
      <c r="N118" s="1">
        <f>VLOOKUP(B118,'App 5 - Organics'!$B$5:$P$132,15,FALSE)</f>
        <v>0</v>
      </c>
      <c r="O118" s="460"/>
      <c r="P118" s="1">
        <v>1131.8</v>
      </c>
      <c r="Q118" s="1">
        <v>44.799999999999955</v>
      </c>
      <c r="R118" s="1">
        <v>1087</v>
      </c>
      <c r="S118" s="460"/>
      <c r="T118" s="1">
        <f>VLOOKUP(B118,'App 4 - Recyclables'!$B$6:$T$133,19,FALSE)</f>
        <v>0</v>
      </c>
      <c r="U118" s="1">
        <f>VLOOKUP(B118,'App 5 - Organics'!$B$5:$T$132,19,FALSE)</f>
        <v>0</v>
      </c>
      <c r="V118" s="460"/>
      <c r="W118" s="1">
        <v>0</v>
      </c>
      <c r="X118" s="1">
        <v>0</v>
      </c>
      <c r="Y118" s="1">
        <v>0</v>
      </c>
      <c r="Z118" s="460"/>
      <c r="AA118" s="462">
        <f t="shared" si="8"/>
        <v>2319</v>
      </c>
      <c r="AB118" s="460"/>
      <c r="AC118" s="463">
        <f t="shared" si="10"/>
        <v>2287.8000000000002</v>
      </c>
      <c r="AD118" s="463">
        <f t="shared" si="10"/>
        <v>44.799999999999955</v>
      </c>
      <c r="AE118" s="463">
        <f t="shared" si="10"/>
        <v>2243</v>
      </c>
      <c r="AF118" s="463">
        <f t="shared" si="11"/>
        <v>76</v>
      </c>
      <c r="AG118" s="463">
        <f t="shared" si="11"/>
        <v>0</v>
      </c>
      <c r="AH118" s="4"/>
      <c r="AI118" s="227">
        <v>0</v>
      </c>
      <c r="AJ118" s="227">
        <v>0</v>
      </c>
      <c r="AK118" s="227">
        <v>0</v>
      </c>
    </row>
    <row r="119" spans="1:37" x14ac:dyDescent="0.2">
      <c r="A119" s="8">
        <v>17750</v>
      </c>
      <c r="B119" s="8" t="s">
        <v>163</v>
      </c>
      <c r="C119" s="8" t="s">
        <v>21</v>
      </c>
      <c r="D119" s="29" t="s">
        <v>1</v>
      </c>
      <c r="E119" s="323"/>
      <c r="F119" s="1">
        <v>7865</v>
      </c>
      <c r="G119" s="1">
        <v>0</v>
      </c>
      <c r="H119" s="1">
        <f t="shared" si="7"/>
        <v>7865</v>
      </c>
      <c r="I119" s="460"/>
      <c r="J119" s="1">
        <f>VLOOKUP(B119,'App 4 - Recyclables'!$B$6:$H$133,7,FALSE)</f>
        <v>564</v>
      </c>
      <c r="K119" s="1">
        <f>VLOOKUP(B119,'App 5 - Organics'!$B$5:$AB$132,27,FALSE)</f>
        <v>-1462</v>
      </c>
      <c r="L119" s="461"/>
      <c r="M119" s="1">
        <f>VLOOKUP(B119,'App 4 - Recyclables'!$B$6:$P$133,15,FALSE)</f>
        <v>-376</v>
      </c>
      <c r="N119" s="1">
        <f>VLOOKUP(B119,'App 5 - Organics'!$B$5:$P$132,15,FALSE)</f>
        <v>263</v>
      </c>
      <c r="O119" s="460"/>
      <c r="P119" s="1">
        <v>8191</v>
      </c>
      <c r="Q119" s="1">
        <v>18</v>
      </c>
      <c r="R119" s="1">
        <v>8173</v>
      </c>
      <c r="S119" s="460"/>
      <c r="T119" s="1">
        <f>VLOOKUP(B119,'App 4 - Recyclables'!$B$6:$T$133,19,FALSE)</f>
        <v>0</v>
      </c>
      <c r="U119" s="1">
        <f>VLOOKUP(B119,'App 5 - Organics'!$B$5:$T$132,19,FALSE)</f>
        <v>0</v>
      </c>
      <c r="V119" s="460"/>
      <c r="W119" s="1">
        <v>115</v>
      </c>
      <c r="X119" s="1">
        <v>0</v>
      </c>
      <c r="Y119" s="1">
        <v>115</v>
      </c>
      <c r="Z119" s="460"/>
      <c r="AA119" s="462">
        <f t="shared" si="8"/>
        <v>15142</v>
      </c>
      <c r="AB119" s="460"/>
      <c r="AC119" s="463">
        <f t="shared" si="10"/>
        <v>16171</v>
      </c>
      <c r="AD119" s="463">
        <f t="shared" si="10"/>
        <v>18</v>
      </c>
      <c r="AE119" s="463">
        <f t="shared" si="10"/>
        <v>16153</v>
      </c>
      <c r="AF119" s="463">
        <f t="shared" si="11"/>
        <v>188</v>
      </c>
      <c r="AG119" s="463">
        <f t="shared" si="11"/>
        <v>-1199</v>
      </c>
      <c r="AH119" s="4"/>
      <c r="AI119" s="227">
        <v>1690.94</v>
      </c>
      <c r="AJ119" s="227">
        <v>0</v>
      </c>
      <c r="AK119" s="227">
        <v>1690.94</v>
      </c>
    </row>
    <row r="120" spans="1:37" x14ac:dyDescent="0.2">
      <c r="A120" s="8">
        <v>17850</v>
      </c>
      <c r="B120" s="8" t="s">
        <v>164</v>
      </c>
      <c r="C120" s="8" t="s">
        <v>16</v>
      </c>
      <c r="D120" s="29" t="s">
        <v>1</v>
      </c>
      <c r="E120" s="323"/>
      <c r="F120" s="1">
        <v>434.71</v>
      </c>
      <c r="G120" s="1">
        <v>0</v>
      </c>
      <c r="H120" s="1">
        <f t="shared" si="7"/>
        <v>434.71</v>
      </c>
      <c r="I120" s="460"/>
      <c r="J120" s="1">
        <f>VLOOKUP(B120,'App 4 - Recyclables'!$B$6:$H$133,7,FALSE)</f>
        <v>0</v>
      </c>
      <c r="K120" s="1">
        <f>VLOOKUP(B120,'App 5 - Organics'!$B$5:$AB$132,27,FALSE)</f>
        <v>0</v>
      </c>
      <c r="L120" s="461"/>
      <c r="M120" s="1">
        <f>VLOOKUP(B120,'App 4 - Recyclables'!$B$6:$P$133,15,FALSE)</f>
        <v>0</v>
      </c>
      <c r="N120" s="1">
        <f>VLOOKUP(B120,'App 5 - Organics'!$B$5:$P$132,15,FALSE)</f>
        <v>0</v>
      </c>
      <c r="O120" s="460"/>
      <c r="P120" s="1">
        <v>0</v>
      </c>
      <c r="Q120" s="1">
        <v>0</v>
      </c>
      <c r="R120" s="1">
        <v>0</v>
      </c>
      <c r="S120" s="460"/>
      <c r="T120" s="1">
        <f>VLOOKUP(B120,'App 4 - Recyclables'!$B$6:$T$133,19,FALSE)</f>
        <v>0</v>
      </c>
      <c r="U120" s="1">
        <f>VLOOKUP(B120,'App 5 - Organics'!$B$5:$T$132,19,FALSE)</f>
        <v>0</v>
      </c>
      <c r="V120" s="460"/>
      <c r="W120" s="1">
        <v>0</v>
      </c>
      <c r="X120" s="1">
        <v>0</v>
      </c>
      <c r="Y120" s="1">
        <v>0</v>
      </c>
      <c r="Z120" s="460"/>
      <c r="AA120" s="462">
        <f t="shared" si="8"/>
        <v>434.71</v>
      </c>
      <c r="AB120" s="460"/>
      <c r="AC120" s="463">
        <f t="shared" si="10"/>
        <v>434.71</v>
      </c>
      <c r="AD120" s="463">
        <f t="shared" si="10"/>
        <v>0</v>
      </c>
      <c r="AE120" s="463">
        <f t="shared" si="10"/>
        <v>434.71</v>
      </c>
      <c r="AF120" s="463">
        <f t="shared" si="11"/>
        <v>0</v>
      </c>
      <c r="AG120" s="463">
        <f t="shared" si="11"/>
        <v>0</v>
      </c>
      <c r="AH120" s="4"/>
      <c r="AI120" s="227">
        <v>0</v>
      </c>
      <c r="AJ120" s="227">
        <v>0</v>
      </c>
      <c r="AK120" s="227">
        <v>0</v>
      </c>
    </row>
    <row r="121" spans="1:37" x14ac:dyDescent="0.2">
      <c r="A121" s="8">
        <v>17900</v>
      </c>
      <c r="B121" s="8" t="s">
        <v>165</v>
      </c>
      <c r="C121" s="8" t="s">
        <v>38</v>
      </c>
      <c r="D121" s="29" t="s">
        <v>1</v>
      </c>
      <c r="E121" s="323"/>
      <c r="F121" s="1">
        <v>3000</v>
      </c>
      <c r="G121" s="1">
        <v>0</v>
      </c>
      <c r="H121" s="1">
        <f t="shared" si="7"/>
        <v>3000</v>
      </c>
      <c r="I121" s="460"/>
      <c r="J121" s="1">
        <f>VLOOKUP(B121,'App 4 - Recyclables'!$B$6:$H$133,7,FALSE)</f>
        <v>0</v>
      </c>
      <c r="K121" s="1">
        <f>VLOOKUP(B121,'App 5 - Organics'!$B$5:$AB$132,27,FALSE)</f>
        <v>0</v>
      </c>
      <c r="L121" s="461"/>
      <c r="M121" s="1">
        <f>VLOOKUP(B121,'App 4 - Recyclables'!$B$6:$P$133,15,FALSE)</f>
        <v>0</v>
      </c>
      <c r="N121" s="1">
        <f>VLOOKUP(B121,'App 5 - Organics'!$B$5:$P$132,15,FALSE)</f>
        <v>0</v>
      </c>
      <c r="O121" s="460"/>
      <c r="P121" s="1">
        <v>0</v>
      </c>
      <c r="Q121" s="1">
        <v>0</v>
      </c>
      <c r="R121" s="1">
        <v>0</v>
      </c>
      <c r="S121" s="460"/>
      <c r="T121" s="1">
        <f>VLOOKUP(B121,'App 4 - Recyclables'!$B$6:$T$133,19,FALSE)</f>
        <v>0</v>
      </c>
      <c r="U121" s="1">
        <f>VLOOKUP(B121,'App 5 - Organics'!$B$5:$T$132,19,FALSE)</f>
        <v>0</v>
      </c>
      <c r="V121" s="460"/>
      <c r="W121" s="1">
        <v>0</v>
      </c>
      <c r="X121" s="1">
        <v>0</v>
      </c>
      <c r="Y121" s="1">
        <v>0</v>
      </c>
      <c r="Z121" s="460"/>
      <c r="AA121" s="462">
        <f t="shared" si="8"/>
        <v>3000</v>
      </c>
      <c r="AB121" s="460"/>
      <c r="AC121" s="463">
        <f t="shared" si="10"/>
        <v>3000</v>
      </c>
      <c r="AD121" s="463">
        <f t="shared" si="10"/>
        <v>0</v>
      </c>
      <c r="AE121" s="463">
        <f t="shared" si="10"/>
        <v>3000</v>
      </c>
      <c r="AF121" s="463">
        <f t="shared" si="11"/>
        <v>0</v>
      </c>
      <c r="AG121" s="463">
        <f t="shared" si="11"/>
        <v>0</v>
      </c>
      <c r="AH121" s="4"/>
      <c r="AI121" s="227">
        <v>0</v>
      </c>
      <c r="AJ121" s="227">
        <v>0</v>
      </c>
      <c r="AK121" s="227">
        <v>0</v>
      </c>
    </row>
    <row r="122" spans="1:37" x14ac:dyDescent="0.2">
      <c r="A122" s="8">
        <v>17950</v>
      </c>
      <c r="B122" s="8" t="s">
        <v>166</v>
      </c>
      <c r="C122" s="8" t="s">
        <v>38</v>
      </c>
      <c r="D122" s="29" t="s">
        <v>1</v>
      </c>
      <c r="E122" s="323"/>
      <c r="F122" s="1">
        <v>177</v>
      </c>
      <c r="G122" s="1">
        <v>0</v>
      </c>
      <c r="H122" s="1">
        <f t="shared" si="7"/>
        <v>177</v>
      </c>
      <c r="I122" s="460"/>
      <c r="J122" s="1">
        <f>VLOOKUP(B122,'App 4 - Recyclables'!$B$6:$H$133,7,FALSE)</f>
        <v>0</v>
      </c>
      <c r="K122" s="1">
        <f>VLOOKUP(B122,'App 5 - Organics'!$B$5:$AB$132,27,FALSE)</f>
        <v>0</v>
      </c>
      <c r="L122" s="461"/>
      <c r="M122" s="1">
        <f>VLOOKUP(B122,'App 4 - Recyclables'!$B$6:$P$133,15,FALSE)</f>
        <v>10</v>
      </c>
      <c r="N122" s="1">
        <f>VLOOKUP(B122,'App 5 - Organics'!$B$5:$P$132,15,FALSE)</f>
        <v>400</v>
      </c>
      <c r="O122" s="460"/>
      <c r="P122" s="1">
        <v>1392</v>
      </c>
      <c r="Q122" s="1">
        <v>0</v>
      </c>
      <c r="R122" s="1">
        <v>1392</v>
      </c>
      <c r="S122" s="460"/>
      <c r="T122" s="1">
        <f>VLOOKUP(B122,'App 4 - Recyclables'!$B$6:$T$133,19,FALSE)</f>
        <v>0</v>
      </c>
      <c r="U122" s="1">
        <f>VLOOKUP(B122,'App 5 - Organics'!$B$5:$T$132,19,FALSE)</f>
        <v>0</v>
      </c>
      <c r="V122" s="460"/>
      <c r="W122" s="1">
        <v>0</v>
      </c>
      <c r="X122" s="1">
        <v>0</v>
      </c>
      <c r="Y122" s="1">
        <v>0</v>
      </c>
      <c r="Z122" s="460"/>
      <c r="AA122" s="462">
        <f t="shared" si="8"/>
        <v>1979</v>
      </c>
      <c r="AB122" s="460"/>
      <c r="AC122" s="463">
        <f t="shared" si="10"/>
        <v>1569</v>
      </c>
      <c r="AD122" s="463">
        <f t="shared" si="10"/>
        <v>0</v>
      </c>
      <c r="AE122" s="463">
        <f t="shared" si="10"/>
        <v>1569</v>
      </c>
      <c r="AF122" s="463">
        <f t="shared" si="11"/>
        <v>10</v>
      </c>
      <c r="AG122" s="463">
        <f t="shared" si="11"/>
        <v>400</v>
      </c>
      <c r="AH122" s="4"/>
      <c r="AI122" s="227">
        <v>0</v>
      </c>
      <c r="AJ122" s="227">
        <v>0</v>
      </c>
      <c r="AK122" s="227">
        <v>0</v>
      </c>
    </row>
    <row r="123" spans="1:37" x14ac:dyDescent="0.2">
      <c r="A123" s="8">
        <v>18020</v>
      </c>
      <c r="B123" s="8" t="s">
        <v>167</v>
      </c>
      <c r="C123" s="8" t="s">
        <v>38</v>
      </c>
      <c r="D123" s="29" t="s">
        <v>1</v>
      </c>
      <c r="E123" s="323"/>
      <c r="F123" s="1">
        <v>3646</v>
      </c>
      <c r="G123" s="1">
        <v>0</v>
      </c>
      <c r="H123" s="1">
        <f t="shared" si="7"/>
        <v>3646</v>
      </c>
      <c r="I123" s="460"/>
      <c r="J123" s="1">
        <f>VLOOKUP(B123,'App 4 - Recyclables'!$B$6:$H$133,7,FALSE)</f>
        <v>48</v>
      </c>
      <c r="K123" s="1">
        <f>VLOOKUP(B123,'App 5 - Organics'!$B$5:$AB$132,27,FALSE)</f>
        <v>0</v>
      </c>
      <c r="L123" s="461"/>
      <c r="M123" s="1">
        <f>VLOOKUP(B123,'App 4 - Recyclables'!$B$6:$P$133,15,FALSE)</f>
        <v>0</v>
      </c>
      <c r="N123" s="1">
        <f>VLOOKUP(B123,'App 5 - Organics'!$B$5:$P$132,15,FALSE)</f>
        <v>0</v>
      </c>
      <c r="O123" s="460"/>
      <c r="P123" s="1">
        <v>0</v>
      </c>
      <c r="Q123" s="1">
        <v>0</v>
      </c>
      <c r="R123" s="1">
        <v>0</v>
      </c>
      <c r="S123" s="460"/>
      <c r="T123" s="1">
        <f>VLOOKUP(B123,'App 4 - Recyclables'!$B$6:$T$133,19,FALSE)</f>
        <v>0</v>
      </c>
      <c r="U123" s="1">
        <f>VLOOKUP(B123,'App 5 - Organics'!$B$5:$T$132,19,FALSE)</f>
        <v>0</v>
      </c>
      <c r="V123" s="460"/>
      <c r="W123" s="1">
        <v>0</v>
      </c>
      <c r="X123" s="1">
        <v>0</v>
      </c>
      <c r="Y123" s="1">
        <v>0</v>
      </c>
      <c r="Z123" s="460"/>
      <c r="AA123" s="462">
        <f t="shared" si="8"/>
        <v>3694</v>
      </c>
      <c r="AB123" s="460"/>
      <c r="AC123" s="463">
        <f t="shared" si="10"/>
        <v>3646</v>
      </c>
      <c r="AD123" s="463">
        <f t="shared" si="10"/>
        <v>0</v>
      </c>
      <c r="AE123" s="463">
        <f t="shared" si="10"/>
        <v>3646</v>
      </c>
      <c r="AF123" s="463">
        <f t="shared" si="11"/>
        <v>48</v>
      </c>
      <c r="AG123" s="463">
        <f t="shared" si="11"/>
        <v>0</v>
      </c>
      <c r="AH123" s="4"/>
      <c r="AI123" s="227">
        <v>0</v>
      </c>
      <c r="AJ123" s="227">
        <v>0</v>
      </c>
      <c r="AK123" s="227">
        <v>0</v>
      </c>
    </row>
    <row r="124" spans="1:37" x14ac:dyDescent="0.2">
      <c r="A124" s="8">
        <v>18050</v>
      </c>
      <c r="B124" s="8" t="s">
        <v>62</v>
      </c>
      <c r="C124" s="8" t="s">
        <v>17</v>
      </c>
      <c r="D124" s="29" t="s">
        <v>2</v>
      </c>
      <c r="E124" s="323"/>
      <c r="F124" s="1">
        <v>13600</v>
      </c>
      <c r="G124" s="1">
        <v>1812</v>
      </c>
      <c r="H124" s="1">
        <f t="shared" si="7"/>
        <v>11788</v>
      </c>
      <c r="I124" s="460"/>
      <c r="J124" s="1">
        <f>VLOOKUP(B124,'App 4 - Recyclables'!$B$6:$H$133,7,FALSE)</f>
        <v>531</v>
      </c>
      <c r="K124" s="1">
        <f>VLOOKUP(B124,'App 5 - Organics'!$B$5:$AB$132,27,FALSE)</f>
        <v>0</v>
      </c>
      <c r="L124" s="461"/>
      <c r="M124" s="1">
        <f>VLOOKUP(B124,'App 4 - Recyclables'!$B$6:$P$133,15,FALSE)</f>
        <v>0</v>
      </c>
      <c r="N124" s="1">
        <f>VLOOKUP(B124,'App 5 - Organics'!$B$5:$P$132,15,FALSE)</f>
        <v>0</v>
      </c>
      <c r="O124" s="460"/>
      <c r="P124" s="1">
        <v>15.27</v>
      </c>
      <c r="Q124" s="1">
        <v>15.27</v>
      </c>
      <c r="R124" s="1">
        <v>0</v>
      </c>
      <c r="S124" s="460"/>
      <c r="T124" s="1">
        <f>VLOOKUP(B124,'App 4 - Recyclables'!$B$6:$T$133,19,FALSE)</f>
        <v>0</v>
      </c>
      <c r="U124" s="1">
        <f>VLOOKUP(B124,'App 5 - Organics'!$B$5:$T$132,19,FALSE)</f>
        <v>0</v>
      </c>
      <c r="V124" s="460"/>
      <c r="W124" s="1">
        <v>2198</v>
      </c>
      <c r="X124" s="1">
        <v>1902</v>
      </c>
      <c r="Y124" s="1">
        <v>296</v>
      </c>
      <c r="Z124" s="460"/>
      <c r="AA124" s="462">
        <f t="shared" si="8"/>
        <v>12615</v>
      </c>
      <c r="AB124" s="460"/>
      <c r="AC124" s="463">
        <f t="shared" si="10"/>
        <v>15813.27</v>
      </c>
      <c r="AD124" s="463">
        <f t="shared" si="10"/>
        <v>3729.27</v>
      </c>
      <c r="AE124" s="463">
        <f t="shared" si="10"/>
        <v>12084</v>
      </c>
      <c r="AF124" s="463">
        <f t="shared" si="11"/>
        <v>531</v>
      </c>
      <c r="AG124" s="463">
        <f t="shared" si="11"/>
        <v>0</v>
      </c>
      <c r="AH124" s="4"/>
      <c r="AI124" s="227">
        <v>306</v>
      </c>
      <c r="AJ124" s="227">
        <v>255</v>
      </c>
      <c r="AK124" s="227">
        <v>51</v>
      </c>
    </row>
    <row r="125" spans="1:37" x14ac:dyDescent="0.2">
      <c r="A125" s="8">
        <v>18100</v>
      </c>
      <c r="B125" s="8" t="s">
        <v>168</v>
      </c>
      <c r="C125" s="8" t="s">
        <v>38</v>
      </c>
      <c r="D125" s="29" t="s">
        <v>1</v>
      </c>
      <c r="E125" s="323"/>
      <c r="F125" s="1">
        <v>595</v>
      </c>
      <c r="G125" s="1">
        <v>0</v>
      </c>
      <c r="H125" s="1">
        <f t="shared" si="7"/>
        <v>595</v>
      </c>
      <c r="I125" s="460"/>
      <c r="J125" s="1">
        <f>VLOOKUP(B125,'App 4 - Recyclables'!$B$6:$H$133,7,FALSE)</f>
        <v>0</v>
      </c>
      <c r="K125" s="1">
        <f>VLOOKUP(B125,'App 5 - Organics'!$B$5:$AB$132,27,FALSE)</f>
        <v>0</v>
      </c>
      <c r="L125" s="461"/>
      <c r="M125" s="1">
        <f>VLOOKUP(B125,'App 4 - Recyclables'!$B$6:$P$133,15,FALSE)</f>
        <v>6.38</v>
      </c>
      <c r="N125" s="1">
        <f>VLOOKUP(B125,'App 5 - Organics'!$B$5:$P$132,15,FALSE)</f>
        <v>16.45</v>
      </c>
      <c r="O125" s="460"/>
      <c r="P125" s="1">
        <v>1207.07</v>
      </c>
      <c r="Q125" s="1">
        <v>7.2999999999999545</v>
      </c>
      <c r="R125" s="1">
        <v>1199.77</v>
      </c>
      <c r="S125" s="460"/>
      <c r="T125" s="1">
        <f>VLOOKUP(B125,'App 4 - Recyclables'!$B$6:$T$133,19,FALSE)</f>
        <v>0</v>
      </c>
      <c r="U125" s="1">
        <f>VLOOKUP(B125,'App 5 - Organics'!$B$5:$T$132,19,FALSE)</f>
        <v>0</v>
      </c>
      <c r="V125" s="460"/>
      <c r="W125" s="1">
        <v>0</v>
      </c>
      <c r="X125" s="1">
        <v>0</v>
      </c>
      <c r="Y125" s="1">
        <v>0</v>
      </c>
      <c r="Z125" s="460"/>
      <c r="AA125" s="462">
        <f t="shared" si="8"/>
        <v>1817.6</v>
      </c>
      <c r="AB125" s="460"/>
      <c r="AC125" s="463">
        <f t="shared" si="10"/>
        <v>1802.07</v>
      </c>
      <c r="AD125" s="463">
        <f t="shared" si="10"/>
        <v>7.2999999999999545</v>
      </c>
      <c r="AE125" s="463">
        <f t="shared" si="10"/>
        <v>1794.77</v>
      </c>
      <c r="AF125" s="463">
        <f t="shared" si="11"/>
        <v>6.38</v>
      </c>
      <c r="AG125" s="463">
        <f t="shared" si="11"/>
        <v>16.45</v>
      </c>
      <c r="AH125" s="4"/>
      <c r="AI125" s="227">
        <v>0</v>
      </c>
      <c r="AJ125" s="227">
        <v>0</v>
      </c>
      <c r="AK125" s="227">
        <v>0</v>
      </c>
    </row>
    <row r="126" spans="1:37" x14ac:dyDescent="0.2">
      <c r="A126" s="8">
        <v>18200</v>
      </c>
      <c r="B126" s="8" t="s">
        <v>169</v>
      </c>
      <c r="C126" s="8" t="s">
        <v>66</v>
      </c>
      <c r="D126" s="29" t="s">
        <v>1</v>
      </c>
      <c r="E126" s="323"/>
      <c r="F126" s="1">
        <v>2450.44</v>
      </c>
      <c r="G126" s="1">
        <v>0</v>
      </c>
      <c r="H126" s="1">
        <f t="shared" si="7"/>
        <v>2450.44</v>
      </c>
      <c r="I126" s="460"/>
      <c r="J126" s="1">
        <f>VLOOKUP(B126,'App 4 - Recyclables'!$B$6:$H$133,7,FALSE)</f>
        <v>0</v>
      </c>
      <c r="K126" s="1">
        <f>VLOOKUP(B126,'App 5 - Organics'!$B$5:$AB$132,27,FALSE)</f>
        <v>0</v>
      </c>
      <c r="L126" s="461"/>
      <c r="M126" s="1">
        <f>VLOOKUP(B126,'App 4 - Recyclables'!$B$6:$P$133,15,FALSE)</f>
        <v>0</v>
      </c>
      <c r="N126" s="1">
        <f>VLOOKUP(B126,'App 5 - Organics'!$B$5:$P$132,15,FALSE)</f>
        <v>0</v>
      </c>
      <c r="O126" s="460"/>
      <c r="P126" s="1">
        <v>0</v>
      </c>
      <c r="Q126" s="1">
        <v>0</v>
      </c>
      <c r="R126" s="1">
        <v>0</v>
      </c>
      <c r="S126" s="460"/>
      <c r="T126" s="1">
        <f>VLOOKUP(B126,'App 4 - Recyclables'!$B$6:$T$133,19,FALSE)</f>
        <v>0</v>
      </c>
      <c r="U126" s="1">
        <f>VLOOKUP(B126,'App 5 - Organics'!$B$5:$T$132,19,FALSE)</f>
        <v>0</v>
      </c>
      <c r="V126" s="460"/>
      <c r="W126" s="1">
        <v>0</v>
      </c>
      <c r="X126" s="1">
        <v>0</v>
      </c>
      <c r="Y126" s="1">
        <v>0</v>
      </c>
      <c r="Z126" s="460"/>
      <c r="AA126" s="462">
        <f t="shared" si="8"/>
        <v>2450.44</v>
      </c>
      <c r="AB126" s="460"/>
      <c r="AC126" s="463">
        <f t="shared" si="10"/>
        <v>2450.44</v>
      </c>
      <c r="AD126" s="463">
        <f t="shared" si="10"/>
        <v>0</v>
      </c>
      <c r="AE126" s="463">
        <f t="shared" si="10"/>
        <v>2450.44</v>
      </c>
      <c r="AF126" s="463">
        <f t="shared" si="11"/>
        <v>0</v>
      </c>
      <c r="AG126" s="463">
        <f t="shared" si="11"/>
        <v>0</v>
      </c>
      <c r="AH126" s="4"/>
      <c r="AI126" s="227">
        <v>751</v>
      </c>
      <c r="AJ126" s="227">
        <v>0</v>
      </c>
      <c r="AK126" s="227">
        <v>751</v>
      </c>
    </row>
    <row r="127" spans="1:37" x14ac:dyDescent="0.2">
      <c r="A127" s="8">
        <v>18250</v>
      </c>
      <c r="B127" s="8" t="s">
        <v>63</v>
      </c>
      <c r="C127" s="8" t="s">
        <v>24</v>
      </c>
      <c r="D127" s="29" t="s">
        <v>2</v>
      </c>
      <c r="E127" s="323"/>
      <c r="F127" s="1">
        <v>14346.58</v>
      </c>
      <c r="G127" s="1">
        <v>698</v>
      </c>
      <c r="H127" s="1">
        <f t="shared" si="7"/>
        <v>13648.58</v>
      </c>
      <c r="I127" s="460"/>
      <c r="J127" s="1">
        <f>VLOOKUP(B127,'App 4 - Recyclables'!$B$6:$H$133,7,FALSE)</f>
        <v>0</v>
      </c>
      <c r="K127" s="1">
        <f>VLOOKUP(B127,'App 5 - Organics'!$B$5:$AB$132,27,FALSE)</f>
        <v>0</v>
      </c>
      <c r="L127" s="461"/>
      <c r="M127" s="1">
        <f>VLOOKUP(B127,'App 4 - Recyclables'!$B$6:$P$133,15,FALSE)</f>
        <v>0</v>
      </c>
      <c r="N127" s="1">
        <f>VLOOKUP(B127,'App 5 - Organics'!$B$5:$P$132,15,FALSE)</f>
        <v>0</v>
      </c>
      <c r="O127" s="460"/>
      <c r="P127" s="1">
        <v>0</v>
      </c>
      <c r="Q127" s="1">
        <v>0</v>
      </c>
      <c r="R127" s="1">
        <v>0</v>
      </c>
      <c r="S127" s="460"/>
      <c r="T127" s="1">
        <f>VLOOKUP(B127,'App 4 - Recyclables'!$B$6:$T$133,19,FALSE)</f>
        <v>0</v>
      </c>
      <c r="U127" s="1">
        <f>VLOOKUP(B127,'App 5 - Organics'!$B$5:$T$132,19,FALSE)</f>
        <v>0</v>
      </c>
      <c r="V127" s="460"/>
      <c r="W127" s="1">
        <v>2184.98</v>
      </c>
      <c r="X127" s="1">
        <v>1037.48</v>
      </c>
      <c r="Y127" s="1">
        <v>1147.5</v>
      </c>
      <c r="Z127" s="460"/>
      <c r="AA127" s="462">
        <f t="shared" si="8"/>
        <v>14796.08</v>
      </c>
      <c r="AB127" s="460"/>
      <c r="AC127" s="463">
        <f t="shared" si="10"/>
        <v>16531.560000000001</v>
      </c>
      <c r="AD127" s="463">
        <f t="shared" si="10"/>
        <v>1735.48</v>
      </c>
      <c r="AE127" s="463">
        <f t="shared" si="10"/>
        <v>14796.08</v>
      </c>
      <c r="AF127" s="463">
        <f t="shared" si="11"/>
        <v>0</v>
      </c>
      <c r="AG127" s="463">
        <f t="shared" si="11"/>
        <v>0</v>
      </c>
      <c r="AH127" s="4"/>
      <c r="AI127" s="227">
        <v>923.74</v>
      </c>
      <c r="AJ127" s="227">
        <v>0</v>
      </c>
      <c r="AK127" s="227">
        <v>923.74</v>
      </c>
    </row>
    <row r="128" spans="1:37" x14ac:dyDescent="0.2">
      <c r="A128" s="8">
        <v>18350</v>
      </c>
      <c r="B128" s="8" t="s">
        <v>64</v>
      </c>
      <c r="C128" s="8" t="s">
        <v>67</v>
      </c>
      <c r="D128" s="29" t="s">
        <v>2</v>
      </c>
      <c r="E128" s="323"/>
      <c r="F128" s="1">
        <v>8097</v>
      </c>
      <c r="G128" s="1">
        <v>0</v>
      </c>
      <c r="H128" s="1">
        <f t="shared" si="7"/>
        <v>8097</v>
      </c>
      <c r="I128" s="460"/>
      <c r="J128" s="1">
        <f>VLOOKUP(B128,'App 4 - Recyclables'!$B$6:$H$133,7,FALSE)</f>
        <v>1055</v>
      </c>
      <c r="K128" s="1">
        <f>VLOOKUP(B128,'App 5 - Organics'!$B$5:$AB$132,27,FALSE)</f>
        <v>350</v>
      </c>
      <c r="L128" s="461"/>
      <c r="M128" s="1">
        <f>VLOOKUP(B128,'App 4 - Recyclables'!$B$6:$P$133,15,FALSE)</f>
        <v>234.45000000000002</v>
      </c>
      <c r="N128" s="1">
        <f>VLOOKUP(B128,'App 5 - Organics'!$B$5:$P$132,15,FALSE)</f>
        <v>188.8</v>
      </c>
      <c r="O128" s="460"/>
      <c r="P128" s="1">
        <v>10206.799999999999</v>
      </c>
      <c r="Q128" s="1">
        <v>4036.6999999999989</v>
      </c>
      <c r="R128" s="1">
        <v>6170.1</v>
      </c>
      <c r="S128" s="460"/>
      <c r="T128" s="1">
        <f>VLOOKUP(B128,'App 4 - Recyclables'!$B$6:$T$133,19,FALSE)</f>
        <v>309.5</v>
      </c>
      <c r="U128" s="1">
        <f>VLOOKUP(B128,'App 5 - Organics'!$B$5:$T$132,19,FALSE)</f>
        <v>0</v>
      </c>
      <c r="V128" s="460"/>
      <c r="W128" s="1">
        <v>999</v>
      </c>
      <c r="X128" s="1">
        <v>0</v>
      </c>
      <c r="Y128" s="1">
        <v>999</v>
      </c>
      <c r="Z128" s="460"/>
      <c r="AA128" s="462">
        <f t="shared" si="8"/>
        <v>17403.849999999999</v>
      </c>
      <c r="AB128" s="460"/>
      <c r="AC128" s="463">
        <f t="shared" si="10"/>
        <v>19302.8</v>
      </c>
      <c r="AD128" s="463">
        <f t="shared" si="10"/>
        <v>4036.6999999999989</v>
      </c>
      <c r="AE128" s="463">
        <f t="shared" si="10"/>
        <v>15266.1</v>
      </c>
      <c r="AF128" s="463">
        <f t="shared" si="11"/>
        <v>1598.95</v>
      </c>
      <c r="AG128" s="463">
        <f t="shared" si="11"/>
        <v>538.79999999999995</v>
      </c>
      <c r="AH128" s="4"/>
      <c r="AI128" s="227">
        <v>591.86</v>
      </c>
      <c r="AJ128" s="227">
        <v>591.86</v>
      </c>
      <c r="AK128" s="227">
        <v>0</v>
      </c>
    </row>
    <row r="129" spans="1:41" x14ac:dyDescent="0.2">
      <c r="A129" s="8">
        <v>18400</v>
      </c>
      <c r="B129" s="8" t="s">
        <v>170</v>
      </c>
      <c r="C129" s="8" t="s">
        <v>182</v>
      </c>
      <c r="D129" s="29" t="s">
        <v>3</v>
      </c>
      <c r="E129" s="323"/>
      <c r="F129" s="1">
        <v>12065</v>
      </c>
      <c r="G129" s="1">
        <v>0</v>
      </c>
      <c r="H129" s="1">
        <f t="shared" si="7"/>
        <v>12065</v>
      </c>
      <c r="I129" s="460"/>
      <c r="J129" s="1">
        <f>VLOOKUP(B129,'App 4 - Recyclables'!$B$6:$H$133,7,FALSE)</f>
        <v>1054</v>
      </c>
      <c r="K129" s="1">
        <f>VLOOKUP(B129,'App 5 - Organics'!$B$5:$AB$132,27,FALSE)</f>
        <v>187</v>
      </c>
      <c r="L129" s="461"/>
      <c r="M129" s="1">
        <f>VLOOKUP(B129,'App 4 - Recyclables'!$B$6:$P$133,15,FALSE)</f>
        <v>0</v>
      </c>
      <c r="N129" s="1">
        <f>VLOOKUP(B129,'App 5 - Organics'!$B$5:$P$132,15,FALSE)</f>
        <v>0</v>
      </c>
      <c r="O129" s="460"/>
      <c r="P129" s="1">
        <v>2865</v>
      </c>
      <c r="Q129" s="1">
        <v>457</v>
      </c>
      <c r="R129" s="1">
        <v>2408</v>
      </c>
      <c r="S129" s="460"/>
      <c r="T129" s="1">
        <f>VLOOKUP(B129,'App 4 - Recyclables'!$B$6:$T$133,19,FALSE)</f>
        <v>0</v>
      </c>
      <c r="U129" s="1">
        <f>VLOOKUP(B129,'App 5 - Organics'!$B$5:$T$132,19,FALSE)</f>
        <v>0</v>
      </c>
      <c r="V129" s="460"/>
      <c r="W129" s="1">
        <v>2359</v>
      </c>
      <c r="X129" s="1">
        <v>0</v>
      </c>
      <c r="Y129" s="1">
        <v>2359</v>
      </c>
      <c r="Z129" s="460"/>
      <c r="AA129" s="462">
        <f t="shared" si="8"/>
        <v>18073</v>
      </c>
      <c r="AB129" s="460"/>
      <c r="AC129" s="463">
        <f t="shared" si="10"/>
        <v>17289</v>
      </c>
      <c r="AD129" s="463">
        <f t="shared" si="10"/>
        <v>457</v>
      </c>
      <c r="AE129" s="463">
        <f t="shared" si="10"/>
        <v>16832</v>
      </c>
      <c r="AF129" s="463">
        <f t="shared" si="11"/>
        <v>1054</v>
      </c>
      <c r="AG129" s="463">
        <f t="shared" si="11"/>
        <v>187</v>
      </c>
      <c r="AH129" s="4"/>
      <c r="AI129" s="227">
        <v>260</v>
      </c>
      <c r="AJ129" s="227">
        <v>0</v>
      </c>
      <c r="AK129" s="227">
        <v>260</v>
      </c>
    </row>
    <row r="130" spans="1:41" x14ac:dyDescent="0.2">
      <c r="A130" s="8">
        <v>18450</v>
      </c>
      <c r="B130" s="8" t="s">
        <v>171</v>
      </c>
      <c r="C130" s="8" t="s">
        <v>37</v>
      </c>
      <c r="D130" s="29" t="s">
        <v>2</v>
      </c>
      <c r="E130" s="323"/>
      <c r="F130" s="1">
        <v>38049.279999999999</v>
      </c>
      <c r="G130" s="1">
        <v>0</v>
      </c>
      <c r="H130" s="1">
        <f t="shared" si="7"/>
        <v>38049.279999999999</v>
      </c>
      <c r="I130" s="460"/>
      <c r="J130" s="1">
        <f>VLOOKUP(B130,'App 4 - Recyclables'!$B$6:$H$133,7,FALSE)</f>
        <v>1583.02</v>
      </c>
      <c r="K130" s="1">
        <f>VLOOKUP(B130,'App 5 - Organics'!$B$5:$AB$132,27,FALSE)</f>
        <v>326.94</v>
      </c>
      <c r="L130" s="461"/>
      <c r="M130" s="1">
        <f>VLOOKUP(B130,'App 4 - Recyclables'!$B$6:$P$133,15,FALSE)</f>
        <v>0</v>
      </c>
      <c r="N130" s="1">
        <f>VLOOKUP(B130,'App 5 - Organics'!$B$5:$P$132,15,FALSE)</f>
        <v>0</v>
      </c>
      <c r="O130" s="460"/>
      <c r="P130" s="1">
        <v>0</v>
      </c>
      <c r="Q130" s="1">
        <v>0</v>
      </c>
      <c r="R130" s="1">
        <v>0</v>
      </c>
      <c r="S130" s="460"/>
      <c r="T130" s="1">
        <f>VLOOKUP(B130,'App 4 - Recyclables'!$B$6:$T$133,19,FALSE)</f>
        <v>0</v>
      </c>
      <c r="U130" s="1">
        <f>VLOOKUP(B130,'App 5 - Organics'!$B$5:$T$132,19,FALSE)</f>
        <v>0</v>
      </c>
      <c r="V130" s="460"/>
      <c r="W130" s="1">
        <v>3566.3999999999996</v>
      </c>
      <c r="X130" s="1">
        <v>44.699999999999818</v>
      </c>
      <c r="Y130" s="1">
        <v>3521.7</v>
      </c>
      <c r="Z130" s="460"/>
      <c r="AA130" s="462">
        <f t="shared" si="8"/>
        <v>43480.939999999995</v>
      </c>
      <c r="AB130" s="460"/>
      <c r="AC130" s="463">
        <f t="shared" si="10"/>
        <v>41615.68</v>
      </c>
      <c r="AD130" s="463">
        <f t="shared" si="10"/>
        <v>44.699999999999818</v>
      </c>
      <c r="AE130" s="463">
        <f t="shared" si="10"/>
        <v>41570.979999999996</v>
      </c>
      <c r="AF130" s="463">
        <f t="shared" si="11"/>
        <v>1583.02</v>
      </c>
      <c r="AG130" s="463">
        <f t="shared" si="11"/>
        <v>326.94</v>
      </c>
      <c r="AH130" s="4"/>
      <c r="AI130" s="227">
        <v>0</v>
      </c>
      <c r="AJ130" s="227">
        <v>0</v>
      </c>
      <c r="AK130" s="227">
        <v>0</v>
      </c>
    </row>
    <row r="131" spans="1:41" x14ac:dyDescent="0.2">
      <c r="A131" s="8">
        <v>18500</v>
      </c>
      <c r="B131" s="8" t="s">
        <v>65</v>
      </c>
      <c r="C131" s="8" t="s">
        <v>17</v>
      </c>
      <c r="D131" s="29" t="s">
        <v>2</v>
      </c>
      <c r="E131" s="323"/>
      <c r="F131" s="1">
        <v>10358.17</v>
      </c>
      <c r="G131" s="1">
        <v>2228</v>
      </c>
      <c r="H131" s="1">
        <f t="shared" si="7"/>
        <v>8130.17</v>
      </c>
      <c r="I131" s="460"/>
      <c r="J131" s="1">
        <f>VLOOKUP(B131,'App 4 - Recyclables'!$B$6:$H$133,7,FALSE)</f>
        <v>0</v>
      </c>
      <c r="K131" s="1">
        <f>VLOOKUP(B131,'App 5 - Organics'!$B$5:$AB$132,27,FALSE)</f>
        <v>0</v>
      </c>
      <c r="L131" s="461"/>
      <c r="M131" s="1">
        <f>VLOOKUP(B131,'App 4 - Recyclables'!$B$6:$P$133,15,FALSE)</f>
        <v>0</v>
      </c>
      <c r="N131" s="1">
        <f>VLOOKUP(B131,'App 5 - Organics'!$B$5:$P$132,15,FALSE)</f>
        <v>0</v>
      </c>
      <c r="O131" s="460"/>
      <c r="P131" s="1">
        <v>0</v>
      </c>
      <c r="Q131" s="1">
        <v>0</v>
      </c>
      <c r="R131" s="1">
        <v>0</v>
      </c>
      <c r="S131" s="460"/>
      <c r="T131" s="1">
        <f>VLOOKUP(B131,'App 4 - Recyclables'!$B$6:$T$133,19,FALSE)</f>
        <v>0</v>
      </c>
      <c r="U131" s="1">
        <f>VLOOKUP(B131,'App 5 - Organics'!$B$5:$T$132,19,FALSE)</f>
        <v>0</v>
      </c>
      <c r="V131" s="460"/>
      <c r="W131" s="1">
        <v>16.600000000000001</v>
      </c>
      <c r="X131" s="1">
        <v>16.600000000000001</v>
      </c>
      <c r="Y131" s="1">
        <v>0</v>
      </c>
      <c r="Z131" s="460"/>
      <c r="AA131" s="462">
        <f t="shared" si="8"/>
        <v>8130.17</v>
      </c>
      <c r="AB131" s="460"/>
      <c r="AC131" s="463">
        <f t="shared" si="10"/>
        <v>10374.77</v>
      </c>
      <c r="AD131" s="463">
        <f t="shared" si="10"/>
        <v>2244.6</v>
      </c>
      <c r="AE131" s="463">
        <f t="shared" si="10"/>
        <v>8130.17</v>
      </c>
      <c r="AF131" s="463">
        <f t="shared" si="11"/>
        <v>0</v>
      </c>
      <c r="AG131" s="463">
        <f t="shared" si="11"/>
        <v>0</v>
      </c>
      <c r="AH131" s="4"/>
      <c r="AI131" s="227">
        <v>438.12</v>
      </c>
      <c r="AJ131" s="227">
        <v>0</v>
      </c>
      <c r="AK131" s="227">
        <v>438.12</v>
      </c>
    </row>
    <row r="132" spans="1:41" x14ac:dyDescent="0.2">
      <c r="A132" s="8">
        <v>18710</v>
      </c>
      <c r="B132" s="8" t="s">
        <v>172</v>
      </c>
      <c r="C132" s="8" t="s">
        <v>67</v>
      </c>
      <c r="D132" s="29" t="s">
        <v>1</v>
      </c>
      <c r="E132" s="323"/>
      <c r="F132" s="1">
        <v>1386.32</v>
      </c>
      <c r="G132" s="1">
        <v>0</v>
      </c>
      <c r="H132" s="1">
        <f t="shared" si="7"/>
        <v>1386.32</v>
      </c>
      <c r="I132" s="460"/>
      <c r="J132" s="1">
        <f>VLOOKUP(B132,'App 4 - Recyclables'!$B$6:$H$133,7,FALSE)</f>
        <v>0</v>
      </c>
      <c r="K132" s="1">
        <f>VLOOKUP(B132,'App 5 - Organics'!$B$5:$AB$132,27,FALSE)</f>
        <v>0</v>
      </c>
      <c r="L132" s="461"/>
      <c r="M132" s="1">
        <f>VLOOKUP(B132,'App 4 - Recyclables'!$B$6:$P$133,15,FALSE)</f>
        <v>22</v>
      </c>
      <c r="N132" s="1">
        <f>VLOOKUP(B132,'App 5 - Organics'!$B$5:$P$132,15,FALSE)</f>
        <v>300</v>
      </c>
      <c r="O132" s="460"/>
      <c r="P132" s="1">
        <v>8693</v>
      </c>
      <c r="Q132" s="1">
        <v>2102</v>
      </c>
      <c r="R132" s="1">
        <v>6591</v>
      </c>
      <c r="S132" s="460"/>
      <c r="T132" s="1">
        <f>VLOOKUP(B132,'App 4 - Recyclables'!$B$6:$T$133,19,FALSE)</f>
        <v>0</v>
      </c>
      <c r="U132" s="1">
        <f>VLOOKUP(B132,'App 5 - Organics'!$B$5:$T$132,19,FALSE)</f>
        <v>0</v>
      </c>
      <c r="V132" s="460"/>
      <c r="W132" s="1">
        <v>0</v>
      </c>
      <c r="X132" s="1">
        <v>0</v>
      </c>
      <c r="Y132" s="1">
        <v>0</v>
      </c>
      <c r="Z132" s="460"/>
      <c r="AA132" s="462">
        <f t="shared" si="8"/>
        <v>8299.32</v>
      </c>
      <c r="AB132" s="460"/>
      <c r="AC132" s="463">
        <f>F132+P132+W132</f>
        <v>10079.32</v>
      </c>
      <c r="AD132" s="463">
        <f>G132+Q132+X132</f>
        <v>2102</v>
      </c>
      <c r="AE132" s="463">
        <f t="shared" ref="AE132" si="12">H132+R132+Y132</f>
        <v>7977.32</v>
      </c>
      <c r="AF132" s="463">
        <f t="shared" si="11"/>
        <v>22</v>
      </c>
      <c r="AG132" s="463">
        <f t="shared" si="11"/>
        <v>300</v>
      </c>
      <c r="AH132" s="4"/>
      <c r="AI132" s="227">
        <v>0</v>
      </c>
      <c r="AJ132" s="227">
        <v>0</v>
      </c>
      <c r="AK132" s="227">
        <v>0</v>
      </c>
    </row>
    <row r="133" spans="1:41" s="2" customFormat="1" ht="11.25" x14ac:dyDescent="0.2">
      <c r="F133" s="30"/>
      <c r="G133" s="30"/>
      <c r="H133" s="30"/>
      <c r="M133" s="1"/>
      <c r="N133" s="1"/>
      <c r="P133" s="30"/>
      <c r="Q133" s="30"/>
      <c r="R133" s="30"/>
      <c r="T133" s="30"/>
      <c r="U133" s="30"/>
      <c r="W133" s="30"/>
      <c r="X133" s="30"/>
      <c r="Y133" s="30"/>
      <c r="AH133" s="4"/>
      <c r="AI133" s="138"/>
      <c r="AJ133" s="138"/>
      <c r="AK133" s="138"/>
    </row>
    <row r="134" spans="1:41" s="2" customFormat="1" ht="11.25" x14ac:dyDescent="0.2">
      <c r="D134" s="450"/>
      <c r="F134" s="573"/>
      <c r="G134" s="137"/>
      <c r="H134" s="464"/>
      <c r="J134" s="4"/>
      <c r="K134" s="4"/>
      <c r="L134" s="4">
        <f t="shared" ref="L134" si="13">L135+O135+V135</f>
        <v>0</v>
      </c>
      <c r="M134" s="30"/>
      <c r="N134" s="30"/>
      <c r="P134" s="30"/>
      <c r="Q134" s="30"/>
      <c r="R134" s="464"/>
      <c r="T134" s="30"/>
      <c r="U134" s="30"/>
      <c r="W134" s="30"/>
      <c r="X134" s="30"/>
      <c r="Y134" s="464"/>
      <c r="AH134" s="4"/>
      <c r="AI134" s="138"/>
      <c r="AJ134" s="138"/>
      <c r="AK134" s="138"/>
      <c r="AO134" s="30" t="s">
        <v>351</v>
      </c>
    </row>
    <row r="135" spans="1:41" s="2" customFormat="1" ht="15" customHeight="1" x14ac:dyDescent="0.2">
      <c r="A135" s="744" t="s">
        <v>7</v>
      </c>
      <c r="B135" s="745"/>
      <c r="C135" s="746"/>
      <c r="D135" s="450"/>
      <c r="F135" s="465">
        <f>SUM(F5:F132)</f>
        <v>1740950.0499999998</v>
      </c>
      <c r="G135" s="465">
        <f>SUM(G5:G132)</f>
        <v>206884.99</v>
      </c>
      <c r="H135" s="465">
        <f>SUM(H5:H132)</f>
        <v>1534065.06</v>
      </c>
      <c r="J135" s="465">
        <f>SUM(J5:J132)</f>
        <v>50723.25</v>
      </c>
      <c r="K135" s="465">
        <f>SUM(K5:K132)</f>
        <v>21519.759999999998</v>
      </c>
      <c r="L135" s="62"/>
      <c r="M135" s="465">
        <f>SUM(M5:M132)</f>
        <v>3573.2599999999998</v>
      </c>
      <c r="N135" s="465">
        <f>SUM(N5:N132)</f>
        <v>5537.0599999999995</v>
      </c>
      <c r="O135" s="62"/>
      <c r="P135" s="465">
        <f>SUM(P5:P132)</f>
        <v>301499.78000000003</v>
      </c>
      <c r="Q135" s="465">
        <f>SUM(Q5:Q132)</f>
        <v>39777.860000000008</v>
      </c>
      <c r="R135" s="465">
        <f>SUM(R5:R132)</f>
        <v>261721.91999999998</v>
      </c>
      <c r="S135" s="62"/>
      <c r="T135" s="465">
        <f>SUM(T5:T132)</f>
        <v>1383.01</v>
      </c>
      <c r="U135" s="465">
        <f>SUM(U5:U132)</f>
        <v>18.009999999999998</v>
      </c>
      <c r="V135" s="62"/>
      <c r="W135" s="465">
        <f>SUM(W5:W132)</f>
        <v>175777.84000000003</v>
      </c>
      <c r="X135" s="465">
        <f>SUM(X5:X132)</f>
        <v>31043.100000000002</v>
      </c>
      <c r="Y135" s="465">
        <f>SUM(Y5:Y132)</f>
        <v>144734.74000000002</v>
      </c>
      <c r="Z135" s="62"/>
      <c r="AA135" s="465">
        <f>SUM(AA5:AA132)</f>
        <v>2023276.0699999998</v>
      </c>
      <c r="AB135" s="465"/>
      <c r="AC135" s="465">
        <f>SUM(AC5:AC132)</f>
        <v>2218227.6699999995</v>
      </c>
      <c r="AD135" s="465">
        <f>SUM(AD5:AD132)</f>
        <v>277705.95</v>
      </c>
      <c r="AE135" s="465">
        <f>SUM(AE5:AE132)</f>
        <v>1940521.7200000002</v>
      </c>
      <c r="AF135" s="465">
        <f>SUM(AF5:AF132)</f>
        <v>55679.520000000004</v>
      </c>
      <c r="AG135" s="465">
        <f>SUM(AG5:AG132)</f>
        <v>27074.829999999998</v>
      </c>
      <c r="AH135" s="4"/>
      <c r="AI135" s="140">
        <f>SUM(AI5:AI132)</f>
        <v>119834.1</v>
      </c>
      <c r="AJ135" s="140">
        <f>SUM(AJ5:AJ132)</f>
        <v>8919.1000000000022</v>
      </c>
      <c r="AK135" s="140">
        <f>SUM(AK5:AK132)</f>
        <v>110914.99999999999</v>
      </c>
      <c r="AM135" s="4">
        <f>AC135+AI135</f>
        <v>2338061.7699999996</v>
      </c>
      <c r="AO135" s="4">
        <f>Y135+U135+T135</f>
        <v>146135.76000000004</v>
      </c>
    </row>
    <row r="136" spans="1:41" s="2" customFormat="1" ht="11.25" x14ac:dyDescent="0.2">
      <c r="B136" s="31"/>
      <c r="C136" s="149"/>
      <c r="D136" s="450"/>
      <c r="F136" s="137"/>
      <c r="G136" s="230"/>
      <c r="H136" s="230"/>
      <c r="J136" s="137"/>
      <c r="K136" s="137"/>
      <c r="M136" s="137"/>
      <c r="N136" s="137"/>
      <c r="P136" s="137"/>
      <c r="Q136" s="137"/>
      <c r="R136" s="137"/>
      <c r="T136" s="137"/>
      <c r="U136" s="137"/>
      <c r="W136" s="137"/>
      <c r="X136" s="137"/>
      <c r="Y136" s="137"/>
      <c r="AA136" s="137"/>
      <c r="AH136" s="4"/>
      <c r="AI136" s="138"/>
      <c r="AJ136" s="138"/>
      <c r="AK136" s="138"/>
    </row>
    <row r="137" spans="1:41" s="2" customFormat="1" ht="11.25" x14ac:dyDescent="0.2">
      <c r="B137" s="31"/>
      <c r="C137" s="149"/>
      <c r="D137" s="450"/>
      <c r="F137" s="137"/>
      <c r="G137" s="230"/>
      <c r="H137" s="230"/>
      <c r="J137" s="137"/>
      <c r="K137" s="137"/>
      <c r="M137" s="137"/>
      <c r="N137" s="137"/>
      <c r="P137" s="137"/>
      <c r="Q137" s="137"/>
      <c r="R137" s="137"/>
      <c r="T137" s="137"/>
      <c r="U137" s="137"/>
      <c r="W137" s="137"/>
      <c r="X137" s="137"/>
      <c r="Y137" s="137"/>
      <c r="AA137" s="137"/>
      <c r="AH137" s="4"/>
      <c r="AI137" s="138"/>
      <c r="AJ137" s="138"/>
      <c r="AK137" s="138"/>
    </row>
    <row r="138" spans="1:41" s="2" customFormat="1" ht="15" customHeight="1" x14ac:dyDescent="0.2">
      <c r="A138" s="742" t="s">
        <v>458</v>
      </c>
      <c r="B138" s="742"/>
      <c r="C138" s="742"/>
      <c r="D138" s="466"/>
      <c r="E138" s="446"/>
      <c r="F138" s="147">
        <f>SUMIF($D$5:$D$132,"S",F$5:F$132)</f>
        <v>1366009.8800000001</v>
      </c>
      <c r="G138" s="147">
        <f>SUMIF($D$5:$D$132,"S",G$5:G$132)</f>
        <v>206884.99</v>
      </c>
      <c r="H138" s="147">
        <f>SUMIF($D$5:$D$132,"S",H$5:H$132)</f>
        <v>1159124.8899999999</v>
      </c>
      <c r="J138" s="147">
        <f>SUMIF($D$5:$D$132,"S",J$5:J$132)</f>
        <v>35020.959999999999</v>
      </c>
      <c r="K138" s="147">
        <f>SUMIF($D$5:$D$132,"S",K$5:K$132)</f>
        <v>7887.7099999999991</v>
      </c>
      <c r="M138" s="147">
        <f>SUMIF($D$5:$D$132,"S",M$5:M$132)</f>
        <v>653.13</v>
      </c>
      <c r="N138" s="147">
        <f>SUMIF($D$5:$D$132,"S",N$5:N$132)</f>
        <v>190.34</v>
      </c>
      <c r="P138" s="147">
        <f>SUMIF($D$5:$D$132,"S",P$5:P$132)</f>
        <v>75343.460000000006</v>
      </c>
      <c r="Q138" s="147">
        <f>SUMIF($D$5:$D$132,"S",Q$5:Q$132)</f>
        <v>9519.369999999999</v>
      </c>
      <c r="R138" s="147">
        <f>SUMIF($D$5:$D$132,"S",R$5:R$132)</f>
        <v>65824.09</v>
      </c>
      <c r="T138" s="147">
        <f>SUMIF($D$5:$D$132,"S",T$5:T$132)</f>
        <v>1346.37</v>
      </c>
      <c r="U138" s="147">
        <f>SUMIF($D$5:$D$132,"S",U$5:U$132)</f>
        <v>0.51</v>
      </c>
      <c r="W138" s="147">
        <f>SUMIF($D$5:$D$132,"S",W$5:W$132)</f>
        <v>161535.68999999997</v>
      </c>
      <c r="X138" s="147">
        <f>SUMIF($D$5:$D$132,"S",X$5:X$132)</f>
        <v>29790.720000000005</v>
      </c>
      <c r="Y138" s="147">
        <f>SUMIF($D$5:$D$132,"S",Y$5:Y$132)</f>
        <v>131744.97</v>
      </c>
      <c r="AA138" s="147">
        <f>SUMIF($D$5:$D$132,"S",AA$5:AA$132)</f>
        <v>1401792.9700000002</v>
      </c>
      <c r="AC138" s="147">
        <f>SUMIF($D$5:$D$132,"S",AC$5:AC$132)</f>
        <v>1602889.03</v>
      </c>
      <c r="AD138" s="147">
        <f>SUMIF($D$5:$D$132,"S",AD$5:AD$132)</f>
        <v>246195.08000000007</v>
      </c>
      <c r="AE138" s="147">
        <f>SUMIF($D$5:$D$132,"S",AE$5:AE$132)</f>
        <v>1356693.9500000002</v>
      </c>
      <c r="AF138" s="147">
        <f>SUMIF($D$5:$D$132,"S",AF$5:AF$132)</f>
        <v>37020.46</v>
      </c>
      <c r="AG138" s="147">
        <f>SUMIF($D$5:$D$132,"S",AG$5:AG$132)</f>
        <v>8078.5599999999995</v>
      </c>
      <c r="AH138" s="4"/>
      <c r="AI138" s="147">
        <f>SUMIF($D$5:$D$132,"S",AI$5:AI$132)</f>
        <v>27204.350000000002</v>
      </c>
      <c r="AJ138" s="147">
        <f>SUMIF($D$5:$D$132,"S",AJ$5:AJ$132)</f>
        <v>5719.71</v>
      </c>
      <c r="AK138" s="147">
        <f>SUMIF($D$5:$D$132,"S",AK$5:AK$132)</f>
        <v>21484.640000000003</v>
      </c>
      <c r="AO138" s="4">
        <f t="shared" ref="AO138:AO140" si="14">Y138+U138+T138</f>
        <v>133091.85</v>
      </c>
    </row>
    <row r="139" spans="1:41" s="2" customFormat="1" ht="15" customHeight="1" x14ac:dyDescent="0.2">
      <c r="A139" s="742" t="s">
        <v>460</v>
      </c>
      <c r="B139" s="742"/>
      <c r="C139" s="742"/>
      <c r="D139" s="466"/>
      <c r="E139" s="446"/>
      <c r="F139" s="147">
        <f>SUMIF($D$5:$D$132,"R",F$5:F$132)</f>
        <v>147477.26999999996</v>
      </c>
      <c r="G139" s="147">
        <f>SUMIF($D$5:$D$132,"R",G$5:G$132)</f>
        <v>0</v>
      </c>
      <c r="H139" s="147">
        <f>SUMIF($D$5:$D$132,"R",H$5:H$132)</f>
        <v>147477.26999999996</v>
      </c>
      <c r="J139" s="147">
        <f>SUMIF($D$5:$D$132,"R",J$5:J$132)</f>
        <v>7990.81</v>
      </c>
      <c r="K139" s="147">
        <f>SUMIF($D$5:$D$132,"R",K$5:K$132)</f>
        <v>1415.53</v>
      </c>
      <c r="M139" s="147">
        <f>SUMIF($D$5:$D$132,"R",M$5:M$132)</f>
        <v>135.48000000000002</v>
      </c>
      <c r="N139" s="147">
        <f>SUMIF($D$5:$D$132,"R",N$5:N$132)</f>
        <v>0.92</v>
      </c>
      <c r="P139" s="147">
        <f>SUMIF($D$5:$D$132,"R",P$5:P$132)</f>
        <v>57153.22</v>
      </c>
      <c r="Q139" s="147">
        <f>SUMIF($D$5:$D$132,"R",Q$5:Q$132)</f>
        <v>10724.130000000001</v>
      </c>
      <c r="R139" s="147">
        <f>SUMIF($D$5:$D$132,"R",R$5:R$132)</f>
        <v>46429.09</v>
      </c>
      <c r="T139" s="147">
        <f>SUMIF($D$5:$D$132,"R",T$5:T$132)</f>
        <v>0</v>
      </c>
      <c r="U139" s="147">
        <f>SUMIF($D$5:$D$132,"R",U$5:U$132)</f>
        <v>0</v>
      </c>
      <c r="W139" s="147">
        <f>SUMIF($D$5:$D$132,"R",W$5:W$132)</f>
        <v>10603.77</v>
      </c>
      <c r="X139" s="147">
        <f>SUMIF($D$5:$D$132,"R",X$5:X$132)</f>
        <v>1000.2</v>
      </c>
      <c r="Y139" s="147">
        <f>SUMIF($D$5:$D$132,"R",Y$5:Y$132)</f>
        <v>9603.57</v>
      </c>
      <c r="AA139" s="147">
        <f>SUMIF($D$5:$D$132,"R",AA$5:AA$132)</f>
        <v>213052.66999999998</v>
      </c>
      <c r="AC139" s="147">
        <f>SUMIF($D$5:$D$132,"R",AC$5:AC$132)</f>
        <v>215234.26</v>
      </c>
      <c r="AD139" s="147">
        <f>SUMIF($D$5:$D$132,"R",AD$5:AD$132)</f>
        <v>11724.330000000002</v>
      </c>
      <c r="AE139" s="147">
        <f>SUMIF($D$5:$D$132,"R",AE$5:AE$132)</f>
        <v>203509.93000000002</v>
      </c>
      <c r="AF139" s="147">
        <f>SUMIF($D$5:$D$132,"R",AF$5:AF$132)</f>
        <v>8126.2900000000009</v>
      </c>
      <c r="AG139" s="147">
        <f>SUMIF($D$5:$D$132,"R",AG$5:AG$132)</f>
        <v>1416.45</v>
      </c>
      <c r="AH139" s="4"/>
      <c r="AI139" s="147">
        <f>SUMIF($D$5:$D$132,"R",AI$5:AI$132)</f>
        <v>42258.21</v>
      </c>
      <c r="AJ139" s="147">
        <f>SUMIF($D$5:$D$132,"R",AJ$5:AJ$132)</f>
        <v>1254.52</v>
      </c>
      <c r="AK139" s="147">
        <f>SUMIF($D$5:$D$132,"R",AK$5:AK$132)</f>
        <v>41003.69</v>
      </c>
      <c r="AO139" s="4">
        <f t="shared" si="14"/>
        <v>9603.57</v>
      </c>
    </row>
    <row r="140" spans="1:41" s="2" customFormat="1" ht="15" customHeight="1" x14ac:dyDescent="0.2">
      <c r="A140" s="742" t="s">
        <v>463</v>
      </c>
      <c r="B140" s="742"/>
      <c r="C140" s="742"/>
      <c r="D140" s="466"/>
      <c r="E140" s="446"/>
      <c r="F140" s="147">
        <f>SUMIF($D$5:$D$132,"N",F$5:F$132)</f>
        <v>227462.9</v>
      </c>
      <c r="G140" s="147">
        <f>SUMIF($D$5:$D$132,"N",G$5:G$132)</f>
        <v>0</v>
      </c>
      <c r="H140" s="147">
        <f>SUMIF($D$5:$D$132,"N",H$5:H$132)</f>
        <v>227462.9</v>
      </c>
      <c r="J140" s="147">
        <f>SUMIF($D$5:$D$132,"N",J$5:J$132)</f>
        <v>7711.4800000000005</v>
      </c>
      <c r="K140" s="147">
        <f>SUMIF($D$5:$D$132,"N",K$5:K$132)</f>
        <v>12216.52</v>
      </c>
      <c r="M140" s="147">
        <f>SUMIF($D$5:$D$132,"N",M$5:M$132)</f>
        <v>2784.6499999999996</v>
      </c>
      <c r="N140" s="147">
        <f>SUMIF($D$5:$D$132,"N",N$5:N$132)</f>
        <v>5345.8</v>
      </c>
      <c r="P140" s="147">
        <f>SUMIF($D$5:$D$132,"N",P$5:P$132)</f>
        <v>169003.1</v>
      </c>
      <c r="Q140" s="147">
        <f>SUMIF($D$5:$D$132,"N",Q$5:Q$132)</f>
        <v>19534.36</v>
      </c>
      <c r="R140" s="147">
        <f>SUMIF($D$5:$D$132,"N",R$5:R$132)</f>
        <v>149468.73999999996</v>
      </c>
      <c r="T140" s="147">
        <f>SUMIF($D$5:$D$132,"N",T$5:T$132)</f>
        <v>36.64</v>
      </c>
      <c r="U140" s="147">
        <f>SUMIF($D$5:$D$132,"N",U$5:U$132)</f>
        <v>17.5</v>
      </c>
      <c r="W140" s="147">
        <f>SUMIF($D$5:$D$132,"N",W$5:W$132)</f>
        <v>3638.3800000000006</v>
      </c>
      <c r="X140" s="147">
        <f>SUMIF($D$5:$D$132,"N",X$5:X$132)</f>
        <v>252.17999999999995</v>
      </c>
      <c r="Y140" s="147">
        <f>SUMIF($D$5:$D$132,"N",Y$5:Y$132)</f>
        <v>3386.2000000000007</v>
      </c>
      <c r="AA140" s="147">
        <f>SUMIF($D$5:$D$132,"N",AA$5:AA$132)</f>
        <v>408430.43000000011</v>
      </c>
      <c r="AC140" s="147">
        <f>SUMIF($D$5:$D$132,"N",AC$5:AC$132)</f>
        <v>400104.38000000012</v>
      </c>
      <c r="AD140" s="147">
        <f>SUMIF($D$5:$D$132,"N",AD$5:AD$132)</f>
        <v>19786.54</v>
      </c>
      <c r="AE140" s="147">
        <f>SUMIF($D$5:$D$132,"N",AE$5:AE$132)</f>
        <v>380317.83999999997</v>
      </c>
      <c r="AF140" s="147">
        <f>SUMIF($D$5:$D$132,"N",AF$5:AF$132)</f>
        <v>10532.769999999997</v>
      </c>
      <c r="AG140" s="147">
        <f>SUMIF($D$5:$D$132,"N",AG$5:AG$132)</f>
        <v>17579.819999999996</v>
      </c>
      <c r="AH140" s="4"/>
      <c r="AI140" s="147">
        <f>SUMIF($D$5:$D$132,"N",AI$5:AI$132)</f>
        <v>50371.540000000008</v>
      </c>
      <c r="AJ140" s="147">
        <f>SUMIF($D$5:$D$132,"N",AJ$5:AJ$132)</f>
        <v>1944.8700000000001</v>
      </c>
      <c r="AK140" s="147">
        <f>SUMIF($D$5:$D$132,"N",AK$5:AK$132)</f>
        <v>48426.67</v>
      </c>
      <c r="AO140" s="4">
        <f t="shared" si="14"/>
        <v>3440.3400000000006</v>
      </c>
    </row>
    <row r="141" spans="1:41" s="2" customFormat="1" ht="15" customHeight="1" x14ac:dyDescent="0.2">
      <c r="A141" s="467"/>
      <c r="B141" s="467"/>
      <c r="C141" s="467"/>
      <c r="D141" s="466"/>
      <c r="E141" s="446"/>
      <c r="F141" s="151"/>
      <c r="G141" s="151"/>
      <c r="H141" s="151"/>
      <c r="J141" s="151"/>
      <c r="K141" s="151"/>
      <c r="M141" s="151"/>
      <c r="N141" s="151"/>
      <c r="P141" s="151"/>
      <c r="Q141" s="151"/>
      <c r="R141" s="151"/>
      <c r="T141" s="151"/>
      <c r="U141" s="151"/>
      <c r="W141" s="151"/>
      <c r="X141" s="151"/>
      <c r="Y141" s="151"/>
      <c r="AA141" s="151"/>
      <c r="AC141" s="151"/>
      <c r="AD141" s="151"/>
      <c r="AE141" s="151"/>
      <c r="AF141" s="151"/>
      <c r="AG141" s="151"/>
      <c r="AH141" s="4"/>
      <c r="AI141" s="151"/>
      <c r="AJ141" s="151"/>
      <c r="AK141" s="151"/>
      <c r="AO141" s="4"/>
    </row>
    <row r="142" spans="1:41" s="2" customFormat="1" ht="11.25" x14ac:dyDescent="0.2">
      <c r="A142" s="743" t="s">
        <v>401</v>
      </c>
      <c r="B142" s="743"/>
      <c r="C142" s="743"/>
      <c r="D142" s="450"/>
      <c r="F142" s="137"/>
      <c r="G142" s="137"/>
      <c r="H142" s="464"/>
      <c r="J142" s="4"/>
      <c r="K142" s="4"/>
      <c r="M142" s="30"/>
      <c r="N142" s="30"/>
      <c r="P142" s="30"/>
      <c r="Q142" s="30"/>
      <c r="R142" s="464"/>
      <c r="T142" s="30"/>
      <c r="U142" s="30"/>
      <c r="W142" s="30"/>
      <c r="X142" s="30"/>
      <c r="Y142" s="464">
        <f>Y143+T143+U143</f>
        <v>200191.15999999997</v>
      </c>
      <c r="AH142" s="4"/>
      <c r="AI142" s="138"/>
      <c r="AJ142" s="138"/>
      <c r="AK142" s="138"/>
      <c r="AO142" s="30" t="s">
        <v>351</v>
      </c>
    </row>
    <row r="143" spans="1:41" s="2" customFormat="1" ht="15" customHeight="1" x14ac:dyDescent="0.2">
      <c r="A143" s="744" t="s">
        <v>7</v>
      </c>
      <c r="B143" s="745"/>
      <c r="C143" s="746"/>
      <c r="D143" s="450"/>
      <c r="F143" s="465">
        <v>1831255.3200000005</v>
      </c>
      <c r="G143" s="465">
        <v>162941.75999999998</v>
      </c>
      <c r="H143" s="465">
        <v>1668313.56</v>
      </c>
      <c r="J143" s="465">
        <v>56873.359999999993</v>
      </c>
      <c r="K143" s="465">
        <v>7438.840000000002</v>
      </c>
      <c r="L143" s="62"/>
      <c r="M143" s="465">
        <v>3922.21</v>
      </c>
      <c r="N143" s="465">
        <v>4845.7199999999993</v>
      </c>
      <c r="O143" s="62"/>
      <c r="P143" s="465">
        <v>275031.12000000005</v>
      </c>
      <c r="Q143" s="465">
        <v>19403.34</v>
      </c>
      <c r="R143" s="465">
        <v>255627.78</v>
      </c>
      <c r="S143" s="62"/>
      <c r="T143" s="465">
        <v>1493.99</v>
      </c>
      <c r="U143" s="465">
        <v>1382.51</v>
      </c>
      <c r="V143" s="62"/>
      <c r="W143" s="465">
        <v>234440.80000000002</v>
      </c>
      <c r="X143" s="465">
        <v>37126.14</v>
      </c>
      <c r="Y143" s="465">
        <v>197314.65999999997</v>
      </c>
      <c r="Z143" s="62"/>
      <c r="AA143" s="465">
        <v>2197212.63</v>
      </c>
      <c r="AB143" s="465"/>
      <c r="AC143" s="465">
        <v>2340727.2399999998</v>
      </c>
      <c r="AD143" s="465">
        <v>219471.24000000002</v>
      </c>
      <c r="AE143" s="465">
        <v>2121255.9999999995</v>
      </c>
      <c r="AF143" s="465">
        <v>62289.56</v>
      </c>
      <c r="AG143" s="465">
        <v>13667.07</v>
      </c>
      <c r="AH143" s="4"/>
      <c r="AI143" s="140">
        <v>116876.06</v>
      </c>
      <c r="AJ143" s="140">
        <v>28556</v>
      </c>
      <c r="AK143" s="140">
        <v>88317.56</v>
      </c>
      <c r="AM143" s="4">
        <v>2463951.5699999998</v>
      </c>
      <c r="AO143" s="4">
        <v>188089.32000000004</v>
      </c>
    </row>
    <row r="144" spans="1:41" s="2" customFormat="1" ht="11.25" x14ac:dyDescent="0.2">
      <c r="B144" s="31"/>
      <c r="C144" s="149"/>
      <c r="D144" s="450"/>
      <c r="F144" s="137"/>
      <c r="G144" s="230"/>
      <c r="H144" s="230"/>
      <c r="J144" s="137"/>
      <c r="K144" s="137"/>
      <c r="M144" s="137"/>
      <c r="N144" s="137"/>
      <c r="P144" s="137"/>
      <c r="Q144" s="137"/>
      <c r="R144" s="137"/>
      <c r="T144" s="137"/>
      <c r="U144" s="137"/>
      <c r="W144" s="137"/>
      <c r="X144" s="137"/>
      <c r="Y144" s="137"/>
      <c r="AA144" s="137"/>
      <c r="AH144" s="4"/>
      <c r="AI144" s="138"/>
      <c r="AJ144" s="138"/>
      <c r="AK144" s="138"/>
    </row>
    <row r="145" spans="1:41" s="2" customFormat="1" ht="15" customHeight="1" x14ac:dyDescent="0.2">
      <c r="A145" s="742" t="s">
        <v>8</v>
      </c>
      <c r="B145" s="742"/>
      <c r="C145" s="742"/>
      <c r="D145" s="466"/>
      <c r="E145" s="446"/>
      <c r="F145" s="147">
        <v>1098742.8</v>
      </c>
      <c r="G145" s="147">
        <v>156630.61000000002</v>
      </c>
      <c r="H145" s="147">
        <v>942112.19000000006</v>
      </c>
      <c r="J145" s="147">
        <v>31805.159999999996</v>
      </c>
      <c r="K145" s="147">
        <v>3797.55</v>
      </c>
      <c r="M145" s="147">
        <v>18.009999999999998</v>
      </c>
      <c r="N145" s="147">
        <v>0</v>
      </c>
      <c r="P145" s="147">
        <v>973.78999999999985</v>
      </c>
      <c r="Q145" s="147">
        <v>973.28999999999985</v>
      </c>
      <c r="R145" s="147">
        <v>0.5</v>
      </c>
      <c r="T145" s="147">
        <v>1452.49</v>
      </c>
      <c r="U145" s="147">
        <v>1330.5800000000002</v>
      </c>
      <c r="W145" s="147">
        <v>164656.74000000002</v>
      </c>
      <c r="X145" s="147">
        <v>32924.050000000003</v>
      </c>
      <c r="Y145" s="147">
        <v>131732.69</v>
      </c>
      <c r="AA145" s="147">
        <v>1112249.1700000002</v>
      </c>
      <c r="AC145" s="147">
        <v>1264373.3299999996</v>
      </c>
      <c r="AD145" s="147">
        <v>190527.95</v>
      </c>
      <c r="AE145" s="147">
        <v>1073845.3800000001</v>
      </c>
      <c r="AF145" s="147">
        <v>33275.659999999996</v>
      </c>
      <c r="AG145" s="147">
        <v>5128.13</v>
      </c>
      <c r="AH145" s="4"/>
      <c r="AI145" s="147">
        <v>12722.550000000001</v>
      </c>
      <c r="AJ145" s="147">
        <v>2137</v>
      </c>
      <c r="AK145" s="147">
        <v>10584.26</v>
      </c>
      <c r="AO145" s="4">
        <v>123029.93999999997</v>
      </c>
    </row>
    <row r="146" spans="1:41" s="2" customFormat="1" ht="15" customHeight="1" x14ac:dyDescent="0.2">
      <c r="A146" s="742" t="s">
        <v>9</v>
      </c>
      <c r="B146" s="742"/>
      <c r="C146" s="742"/>
      <c r="D146" s="466"/>
      <c r="E146" s="446"/>
      <c r="F146" s="147">
        <v>348807.47000000003</v>
      </c>
      <c r="G146" s="147">
        <v>5612.2199999999993</v>
      </c>
      <c r="H146" s="147">
        <v>343195.25000000006</v>
      </c>
      <c r="J146" s="147">
        <v>9414.4299999999985</v>
      </c>
      <c r="K146" s="147">
        <v>1132.08</v>
      </c>
      <c r="M146" s="147">
        <v>103.6</v>
      </c>
      <c r="N146" s="147">
        <v>0</v>
      </c>
      <c r="P146" s="147">
        <v>65855.740000000005</v>
      </c>
      <c r="Q146" s="147">
        <v>1826.2700000000004</v>
      </c>
      <c r="R146" s="147">
        <v>64029.469999999994</v>
      </c>
      <c r="T146" s="147">
        <v>0</v>
      </c>
      <c r="U146" s="147">
        <v>0</v>
      </c>
      <c r="W146" s="147">
        <v>54110.110000000008</v>
      </c>
      <c r="X146" s="147">
        <v>2750.93</v>
      </c>
      <c r="Y146" s="147">
        <v>51359.180000000008</v>
      </c>
      <c r="AA146" s="147">
        <v>469234.01</v>
      </c>
      <c r="AC146" s="147">
        <v>468773.32</v>
      </c>
      <c r="AD146" s="147">
        <v>10189.42</v>
      </c>
      <c r="AE146" s="147">
        <v>458583.89999999997</v>
      </c>
      <c r="AF146" s="147">
        <v>9518.0299999999988</v>
      </c>
      <c r="AG146" s="147">
        <v>1132.08</v>
      </c>
      <c r="AH146" s="4"/>
      <c r="AI146" s="147">
        <v>20417.02</v>
      </c>
      <c r="AJ146" s="147">
        <v>0</v>
      </c>
      <c r="AK146" s="147">
        <v>20417.02</v>
      </c>
      <c r="AO146" s="4">
        <v>51848.94</v>
      </c>
    </row>
    <row r="147" spans="1:41" s="2" customFormat="1" ht="15" customHeight="1" x14ac:dyDescent="0.2">
      <c r="A147" s="742" t="s">
        <v>10</v>
      </c>
      <c r="B147" s="742"/>
      <c r="C147" s="742"/>
      <c r="D147" s="466"/>
      <c r="E147" s="446"/>
      <c r="F147" s="147">
        <v>156470.74</v>
      </c>
      <c r="G147" s="147">
        <v>698.93000000000029</v>
      </c>
      <c r="H147" s="147">
        <v>155771.81</v>
      </c>
      <c r="J147" s="147">
        <v>9106.4399999999987</v>
      </c>
      <c r="K147" s="147">
        <v>1515.3</v>
      </c>
      <c r="M147" s="147">
        <v>377</v>
      </c>
      <c r="N147" s="147">
        <v>0</v>
      </c>
      <c r="P147" s="147">
        <v>53783.899999999994</v>
      </c>
      <c r="Q147" s="147">
        <v>3997.4000000000005</v>
      </c>
      <c r="R147" s="147">
        <v>49786.5</v>
      </c>
      <c r="T147" s="147">
        <v>0</v>
      </c>
      <c r="U147" s="147">
        <v>0</v>
      </c>
      <c r="W147" s="147">
        <v>11334.120000000003</v>
      </c>
      <c r="X147" s="147">
        <v>1179.8800000000001</v>
      </c>
      <c r="Y147" s="147">
        <v>10154.24</v>
      </c>
      <c r="AA147" s="147">
        <v>226711.29000000004</v>
      </c>
      <c r="AC147" s="147">
        <v>221588.75999999998</v>
      </c>
      <c r="AD147" s="147">
        <v>5876.2100000000009</v>
      </c>
      <c r="AE147" s="147">
        <v>215712.55</v>
      </c>
      <c r="AF147" s="147">
        <v>9483.44</v>
      </c>
      <c r="AG147" s="147">
        <v>1515.3</v>
      </c>
      <c r="AH147" s="4"/>
      <c r="AI147" s="147">
        <v>31982.499999999996</v>
      </c>
      <c r="AJ147" s="147">
        <v>100</v>
      </c>
      <c r="AK147" s="147">
        <v>31882.079999999998</v>
      </c>
      <c r="AO147" s="4">
        <v>8931.9</v>
      </c>
    </row>
    <row r="148" spans="1:41" s="2" customFormat="1" ht="15" customHeight="1" x14ac:dyDescent="0.2">
      <c r="A148" s="742" t="s">
        <v>11</v>
      </c>
      <c r="B148" s="742"/>
      <c r="C148" s="742"/>
      <c r="D148" s="466"/>
      <c r="E148" s="446"/>
      <c r="F148" s="147">
        <v>227234.30999999994</v>
      </c>
      <c r="G148" s="147">
        <v>0</v>
      </c>
      <c r="H148" s="147">
        <v>227234.30999999994</v>
      </c>
      <c r="J148" s="147">
        <v>6547.329999999999</v>
      </c>
      <c r="K148" s="147">
        <v>993.91000000000008</v>
      </c>
      <c r="M148" s="147">
        <v>3423.6000000000004</v>
      </c>
      <c r="N148" s="147">
        <v>4845.7199999999993</v>
      </c>
      <c r="P148" s="147">
        <v>154417.69</v>
      </c>
      <c r="Q148" s="147">
        <v>12606.380000000001</v>
      </c>
      <c r="R148" s="147">
        <v>141811.31000000003</v>
      </c>
      <c r="T148" s="147">
        <v>41.5</v>
      </c>
      <c r="U148" s="147">
        <v>51.93</v>
      </c>
      <c r="W148" s="147">
        <v>4339.83</v>
      </c>
      <c r="X148" s="147">
        <v>271.27999999999997</v>
      </c>
      <c r="Y148" s="147">
        <v>4068.5499999999993</v>
      </c>
      <c r="AA148" s="147">
        <v>389018.16000000009</v>
      </c>
      <c r="AC148" s="147">
        <v>385991.8299999999</v>
      </c>
      <c r="AD148" s="147">
        <v>12877.66</v>
      </c>
      <c r="AE148" s="147">
        <v>373114.17</v>
      </c>
      <c r="AF148" s="147">
        <v>10012.43</v>
      </c>
      <c r="AG148" s="147">
        <v>5891.5599999999995</v>
      </c>
      <c r="AH148" s="4"/>
      <c r="AI148" s="147">
        <v>51753.990000000005</v>
      </c>
      <c r="AJ148" s="147">
        <v>26319</v>
      </c>
      <c r="AK148" s="147">
        <v>25434.2</v>
      </c>
      <c r="AO148" s="4">
        <v>4278.54</v>
      </c>
    </row>
    <row r="149" spans="1:41" s="2" customFormat="1" ht="15" customHeight="1" x14ac:dyDescent="0.2">
      <c r="A149" s="467"/>
      <c r="B149" s="467"/>
      <c r="C149" s="467"/>
      <c r="D149" s="466"/>
      <c r="E149" s="446"/>
      <c r="F149" s="151"/>
      <c r="G149" s="468"/>
      <c r="H149" s="151"/>
      <c r="J149" s="151"/>
      <c r="K149" s="151"/>
      <c r="M149" s="151"/>
      <c r="N149" s="151"/>
      <c r="P149" s="151"/>
      <c r="Q149" s="151"/>
      <c r="R149" s="151"/>
      <c r="T149" s="151"/>
      <c r="U149" s="151"/>
      <c r="W149" s="151"/>
      <c r="X149" s="151"/>
      <c r="Y149" s="151"/>
      <c r="AA149" s="151"/>
      <c r="AC149" s="151"/>
      <c r="AD149" s="151"/>
      <c r="AE149" s="151"/>
      <c r="AF149" s="151"/>
      <c r="AG149" s="151"/>
      <c r="AH149" s="4"/>
      <c r="AI149" s="4"/>
      <c r="AJ149" s="4"/>
      <c r="AK149" s="4"/>
      <c r="AL149" s="4"/>
    </row>
    <row r="150" spans="1:41" s="2" customFormat="1" ht="15" customHeight="1" x14ac:dyDescent="0.2">
      <c r="A150" s="467"/>
      <c r="B150" s="467"/>
      <c r="C150" s="467"/>
      <c r="D150" s="466"/>
      <c r="E150" s="446"/>
      <c r="F150" s="151"/>
      <c r="G150" s="151"/>
      <c r="H150" s="151"/>
      <c r="J150" s="151"/>
      <c r="K150" s="151"/>
      <c r="M150" s="151"/>
      <c r="N150" s="151"/>
      <c r="P150" s="151"/>
      <c r="Q150" s="151"/>
      <c r="R150" s="151"/>
      <c r="T150" s="151"/>
      <c r="U150" s="151"/>
      <c r="W150" s="151"/>
      <c r="X150" s="151"/>
      <c r="Y150" s="151"/>
      <c r="AA150" s="151"/>
      <c r="AC150" s="151"/>
      <c r="AD150" s="151"/>
      <c r="AE150" s="151"/>
      <c r="AF150" s="151"/>
      <c r="AG150" s="151"/>
      <c r="AH150" s="4"/>
      <c r="AI150" s="151"/>
      <c r="AJ150" s="151"/>
      <c r="AK150" s="151"/>
      <c r="AO150" s="4"/>
    </row>
    <row r="151" spans="1:41" s="2" customFormat="1" ht="11.25" x14ac:dyDescent="0.2">
      <c r="A151" s="743" t="s">
        <v>174</v>
      </c>
      <c r="B151" s="743"/>
      <c r="C151" s="743"/>
      <c r="D151" s="450"/>
      <c r="F151" s="137"/>
      <c r="G151" s="137"/>
      <c r="H151" s="464"/>
      <c r="J151" s="4"/>
      <c r="K151" s="4"/>
      <c r="M151" s="30"/>
      <c r="N151" s="30"/>
      <c r="P151" s="30"/>
      <c r="Q151" s="30"/>
      <c r="R151" s="464"/>
      <c r="T151" s="30"/>
      <c r="U151" s="30"/>
      <c r="W151" s="30"/>
      <c r="X151" s="30"/>
      <c r="Y151" s="464">
        <f>Y152+T152+U152</f>
        <v>188089.32000000004</v>
      </c>
      <c r="AH151" s="4"/>
      <c r="AI151" s="138"/>
      <c r="AJ151" s="138"/>
      <c r="AK151" s="138"/>
      <c r="AO151" s="30" t="s">
        <v>351</v>
      </c>
    </row>
    <row r="152" spans="1:41" s="2" customFormat="1" ht="15" customHeight="1" x14ac:dyDescent="0.2">
      <c r="A152" s="744" t="s">
        <v>7</v>
      </c>
      <c r="B152" s="745"/>
      <c r="C152" s="746"/>
      <c r="D152" s="450"/>
      <c r="F152" s="465">
        <v>1779223.3800000006</v>
      </c>
      <c r="G152" s="465">
        <v>171899.83999999997</v>
      </c>
      <c r="H152" s="465">
        <v>1607323.5400000007</v>
      </c>
      <c r="J152" s="465">
        <v>64546.01</v>
      </c>
      <c r="K152" s="465">
        <v>8211.5099999999984</v>
      </c>
      <c r="L152" s="62"/>
      <c r="M152" s="465">
        <v>3775.1899999999996</v>
      </c>
      <c r="N152" s="465">
        <v>8161.7699999999995</v>
      </c>
      <c r="O152" s="62"/>
      <c r="P152" s="465">
        <v>340420.18000000005</v>
      </c>
      <c r="Q152" s="465">
        <v>42265.96</v>
      </c>
      <c r="R152" s="465">
        <v>298154.21999999997</v>
      </c>
      <c r="S152" s="62"/>
      <c r="T152" s="465">
        <v>415.11</v>
      </c>
      <c r="U152" s="465">
        <v>21</v>
      </c>
      <c r="V152" s="62"/>
      <c r="W152" s="465">
        <v>233542.13</v>
      </c>
      <c r="X152" s="465">
        <v>45888.92</v>
      </c>
      <c r="Y152" s="465">
        <v>187653.21000000005</v>
      </c>
      <c r="Z152" s="62"/>
      <c r="AA152" s="465">
        <v>2178261.56</v>
      </c>
      <c r="AB152" s="465"/>
      <c r="AC152" s="465">
        <v>2353185.69</v>
      </c>
      <c r="AD152" s="465">
        <v>260054.72000000003</v>
      </c>
      <c r="AE152" s="465">
        <v>2093130.9700000004</v>
      </c>
      <c r="AF152" s="465">
        <v>68736.31</v>
      </c>
      <c r="AG152" s="465">
        <v>16394.28</v>
      </c>
      <c r="AH152" s="4"/>
      <c r="AI152" s="140">
        <v>110765.88000000002</v>
      </c>
      <c r="AJ152" s="140">
        <v>7923</v>
      </c>
      <c r="AK152" s="140">
        <v>102839.27000000003</v>
      </c>
      <c r="AM152" s="4">
        <v>2463951.5699999998</v>
      </c>
      <c r="AO152" s="4">
        <v>188089.32000000004</v>
      </c>
    </row>
    <row r="153" spans="1:41" s="2" customFormat="1" ht="11.25" x14ac:dyDescent="0.2">
      <c r="B153" s="31"/>
      <c r="C153" s="149"/>
      <c r="D153" s="450"/>
      <c r="F153" s="137"/>
      <c r="G153" s="230"/>
      <c r="H153" s="230"/>
      <c r="J153" s="137"/>
      <c r="K153" s="137"/>
      <c r="M153" s="137"/>
      <c r="N153" s="137"/>
      <c r="P153" s="137"/>
      <c r="Q153" s="137"/>
      <c r="R153" s="137"/>
      <c r="T153" s="137"/>
      <c r="U153" s="137"/>
      <c r="W153" s="137"/>
      <c r="X153" s="137"/>
      <c r="Y153" s="137"/>
      <c r="AA153" s="137"/>
      <c r="AH153" s="4"/>
      <c r="AI153" s="138"/>
      <c r="AJ153" s="138"/>
      <c r="AK153" s="138"/>
    </row>
    <row r="154" spans="1:41" s="2" customFormat="1" ht="15" customHeight="1" x14ac:dyDescent="0.2">
      <c r="A154" s="742" t="s">
        <v>8</v>
      </c>
      <c r="B154" s="742"/>
      <c r="C154" s="742"/>
      <c r="D154" s="466"/>
      <c r="E154" s="446"/>
      <c r="F154" s="147">
        <v>1057327.4300000002</v>
      </c>
      <c r="G154" s="147">
        <v>161628.66</v>
      </c>
      <c r="H154" s="147">
        <v>895698.77</v>
      </c>
      <c r="J154" s="147">
        <v>34835.619999999988</v>
      </c>
      <c r="K154" s="147">
        <v>3465.99</v>
      </c>
      <c r="M154" s="147">
        <v>150.91</v>
      </c>
      <c r="N154" s="147">
        <v>0</v>
      </c>
      <c r="P154" s="147">
        <v>11495.36</v>
      </c>
      <c r="Q154" s="147">
        <v>11173.83</v>
      </c>
      <c r="R154" s="147">
        <v>321.52999999999997</v>
      </c>
      <c r="T154" s="147">
        <v>364.26</v>
      </c>
      <c r="U154" s="147">
        <v>1</v>
      </c>
      <c r="W154" s="147">
        <v>161802.85999999999</v>
      </c>
      <c r="X154" s="147">
        <v>39138.18</v>
      </c>
      <c r="Y154" s="147">
        <v>122664.67999999998</v>
      </c>
      <c r="AA154" s="147">
        <v>1057502.76</v>
      </c>
      <c r="AC154" s="147">
        <v>1230625.6500000001</v>
      </c>
      <c r="AD154" s="147">
        <v>211940.67</v>
      </c>
      <c r="AE154" s="147">
        <v>1018684.9800000001</v>
      </c>
      <c r="AF154" s="147">
        <v>35350.789999999994</v>
      </c>
      <c r="AG154" s="147">
        <v>3466.99</v>
      </c>
      <c r="AH154" s="4"/>
      <c r="AI154" s="147">
        <v>17295.849999999999</v>
      </c>
      <c r="AJ154" s="147">
        <v>2117</v>
      </c>
      <c r="AK154" s="147">
        <v>15177.54</v>
      </c>
      <c r="AO154" s="4">
        <v>123029.93999999997</v>
      </c>
    </row>
    <row r="155" spans="1:41" s="2" customFormat="1" ht="15" customHeight="1" x14ac:dyDescent="0.2">
      <c r="A155" s="742" t="s">
        <v>9</v>
      </c>
      <c r="B155" s="742"/>
      <c r="C155" s="742"/>
      <c r="D155" s="466"/>
      <c r="E155" s="446"/>
      <c r="F155" s="147">
        <v>341847.7</v>
      </c>
      <c r="G155" s="147">
        <v>9663.7999999999993</v>
      </c>
      <c r="H155" s="147">
        <v>332183.90000000002</v>
      </c>
      <c r="J155" s="147">
        <v>13812.960000000001</v>
      </c>
      <c r="K155" s="147">
        <v>1496.51</v>
      </c>
      <c r="M155" s="147">
        <v>28.889999999999997</v>
      </c>
      <c r="N155" s="147">
        <v>109.73</v>
      </c>
      <c r="P155" s="147">
        <v>75738.940000000017</v>
      </c>
      <c r="Q155" s="147">
        <v>12707.78</v>
      </c>
      <c r="R155" s="147">
        <v>63031.16</v>
      </c>
      <c r="T155" s="147">
        <v>2.35</v>
      </c>
      <c r="U155" s="147">
        <v>0</v>
      </c>
      <c r="W155" s="147">
        <v>55008.710000000006</v>
      </c>
      <c r="X155" s="147">
        <v>3162.1200000000003</v>
      </c>
      <c r="Y155" s="147">
        <v>51846.590000000004</v>
      </c>
      <c r="AA155" s="147">
        <v>462512.09</v>
      </c>
      <c r="AC155" s="147">
        <v>472595.35</v>
      </c>
      <c r="AD155" s="147">
        <v>25533.7</v>
      </c>
      <c r="AE155" s="147">
        <v>447061.65</v>
      </c>
      <c r="AF155" s="147">
        <v>13844.2</v>
      </c>
      <c r="AG155" s="147">
        <v>1606.24</v>
      </c>
      <c r="AH155" s="4"/>
      <c r="AI155" s="147">
        <v>30923.1</v>
      </c>
      <c r="AJ155" s="147">
        <v>550</v>
      </c>
      <c r="AK155" s="147">
        <v>30372.660000000003</v>
      </c>
      <c r="AO155" s="4">
        <v>51848.94</v>
      </c>
    </row>
    <row r="156" spans="1:41" s="2" customFormat="1" ht="15" customHeight="1" x14ac:dyDescent="0.2">
      <c r="A156" s="742" t="s">
        <v>10</v>
      </c>
      <c r="B156" s="742"/>
      <c r="C156" s="742"/>
      <c r="D156" s="466"/>
      <c r="E156" s="446"/>
      <c r="F156" s="147">
        <v>156097.65</v>
      </c>
      <c r="G156" s="147">
        <v>607.38000000000011</v>
      </c>
      <c r="H156" s="147">
        <v>155490.26999999999</v>
      </c>
      <c r="J156" s="147">
        <v>7917.98</v>
      </c>
      <c r="K156" s="147">
        <v>1208.29</v>
      </c>
      <c r="M156" s="147">
        <v>72.16</v>
      </c>
      <c r="N156" s="147">
        <v>5</v>
      </c>
      <c r="P156" s="147">
        <v>91373.150000000009</v>
      </c>
      <c r="Q156" s="147">
        <v>11507.72</v>
      </c>
      <c r="R156" s="147">
        <v>79865.429999999993</v>
      </c>
      <c r="T156" s="147">
        <v>0</v>
      </c>
      <c r="U156" s="147">
        <v>0</v>
      </c>
      <c r="W156" s="147">
        <v>12212.52</v>
      </c>
      <c r="X156" s="147">
        <v>3280.62</v>
      </c>
      <c r="Y156" s="147">
        <v>8931.9</v>
      </c>
      <c r="AA156" s="147">
        <v>253491.03</v>
      </c>
      <c r="AC156" s="147">
        <v>259683.32</v>
      </c>
      <c r="AD156" s="147">
        <v>15395.72</v>
      </c>
      <c r="AE156" s="147">
        <v>244287.6</v>
      </c>
      <c r="AF156" s="147">
        <v>7990.1400000000012</v>
      </c>
      <c r="AG156" s="147">
        <v>1213.29</v>
      </c>
      <c r="AH156" s="4"/>
      <c r="AI156" s="147">
        <v>10851.37</v>
      </c>
      <c r="AJ156" s="147">
        <v>2185</v>
      </c>
      <c r="AK156" s="147">
        <v>8666.3700000000008</v>
      </c>
      <c r="AO156" s="4">
        <v>8931.9</v>
      </c>
    </row>
    <row r="157" spans="1:41" s="2" customFormat="1" ht="15" customHeight="1" x14ac:dyDescent="0.2">
      <c r="A157" s="742" t="s">
        <v>11</v>
      </c>
      <c r="B157" s="742"/>
      <c r="C157" s="742"/>
      <c r="D157" s="466"/>
      <c r="E157" s="446"/>
      <c r="F157" s="147">
        <v>223950.6</v>
      </c>
      <c r="G157" s="147">
        <v>0</v>
      </c>
      <c r="H157" s="147">
        <v>223950.6</v>
      </c>
      <c r="J157" s="147">
        <v>7979.4500000000016</v>
      </c>
      <c r="K157" s="147">
        <v>2040.7199999999998</v>
      </c>
      <c r="M157" s="147">
        <v>3523.2299999999996</v>
      </c>
      <c r="N157" s="147">
        <v>8047.04</v>
      </c>
      <c r="P157" s="147">
        <v>161812.72999999998</v>
      </c>
      <c r="Q157" s="147">
        <v>6876.630000000001</v>
      </c>
      <c r="R157" s="147">
        <v>154936.1</v>
      </c>
      <c r="T157" s="147">
        <v>48.5</v>
      </c>
      <c r="U157" s="147">
        <v>20</v>
      </c>
      <c r="W157" s="147">
        <v>4518.04</v>
      </c>
      <c r="X157" s="147">
        <v>308</v>
      </c>
      <c r="Y157" s="147">
        <v>4210.04</v>
      </c>
      <c r="AA157" s="147">
        <v>404755.67999999993</v>
      </c>
      <c r="AC157" s="147">
        <v>390281.37000000005</v>
      </c>
      <c r="AD157" s="147">
        <v>7184.6300000000019</v>
      </c>
      <c r="AE157" s="147">
        <v>383096.74000000005</v>
      </c>
      <c r="AF157" s="147">
        <v>11551.18</v>
      </c>
      <c r="AG157" s="147">
        <v>10107.759999999998</v>
      </c>
      <c r="AH157" s="4"/>
      <c r="AI157" s="147">
        <v>51695.560000000005</v>
      </c>
      <c r="AJ157" s="147">
        <v>3071</v>
      </c>
      <c r="AK157" s="147">
        <v>48622.7</v>
      </c>
      <c r="AO157" s="4">
        <v>4278.54</v>
      </c>
    </row>
    <row r="158" spans="1:41" s="2" customFormat="1" ht="15" customHeight="1" x14ac:dyDescent="0.2">
      <c r="A158" s="467"/>
      <c r="B158" s="467"/>
      <c r="C158" s="467"/>
      <c r="D158" s="466"/>
      <c r="E158" s="446"/>
      <c r="F158" s="151"/>
      <c r="G158" s="468"/>
      <c r="H158" s="151"/>
      <c r="J158" s="151"/>
      <c r="K158" s="151"/>
      <c r="M158" s="151"/>
      <c r="N158" s="151"/>
      <c r="P158" s="151"/>
      <c r="Q158" s="151"/>
      <c r="R158" s="151"/>
      <c r="T158" s="151"/>
      <c r="U158" s="151"/>
      <c r="W158" s="151"/>
      <c r="X158" s="151"/>
      <c r="Y158" s="151"/>
      <c r="AA158" s="151"/>
      <c r="AC158" s="151"/>
      <c r="AD158" s="151"/>
      <c r="AE158" s="151"/>
      <c r="AF158" s="151"/>
      <c r="AG158" s="151"/>
      <c r="AH158" s="4"/>
      <c r="AI158" s="4"/>
      <c r="AJ158" s="4"/>
      <c r="AK158" s="4"/>
      <c r="AL158" s="4"/>
    </row>
    <row r="159" spans="1:41" s="2" customFormat="1" ht="15" customHeight="1" x14ac:dyDescent="0.2">
      <c r="A159" s="467"/>
      <c r="B159" s="467"/>
      <c r="C159" s="467"/>
      <c r="D159" s="466"/>
      <c r="E159" s="446"/>
      <c r="F159" s="151"/>
      <c r="G159" s="151"/>
      <c r="H159" s="151"/>
      <c r="J159" s="151"/>
      <c r="K159" s="151"/>
      <c r="M159" s="151"/>
      <c r="N159" s="151"/>
      <c r="P159" s="151"/>
      <c r="Q159" s="151"/>
      <c r="R159" s="151"/>
      <c r="T159" s="151"/>
      <c r="U159" s="151"/>
      <c r="W159" s="151"/>
      <c r="X159" s="151"/>
      <c r="Y159" s="151"/>
      <c r="AA159" s="151"/>
      <c r="AC159" s="151"/>
      <c r="AD159" s="151"/>
      <c r="AE159" s="151"/>
      <c r="AF159" s="151"/>
      <c r="AG159" s="151"/>
      <c r="AH159" s="4"/>
      <c r="AI159" s="151"/>
      <c r="AJ159" s="151"/>
      <c r="AK159" s="151"/>
      <c r="AO159" s="4"/>
    </row>
    <row r="160" spans="1:41" s="2" customFormat="1" ht="11.25" x14ac:dyDescent="0.2">
      <c r="A160" s="743" t="s">
        <v>224</v>
      </c>
      <c r="B160" s="743"/>
      <c r="C160" s="743"/>
      <c r="D160" s="450"/>
      <c r="F160" s="137"/>
      <c r="G160" s="137">
        <f>G161/F161</f>
        <v>7.1490534643155496E-2</v>
      </c>
      <c r="H160" s="464"/>
      <c r="J160" s="4"/>
      <c r="K160" s="4"/>
      <c r="M160" s="30"/>
      <c r="N160" s="30"/>
      <c r="P160" s="30"/>
      <c r="Q160" s="30"/>
      <c r="R160" s="464"/>
      <c r="T160" s="30"/>
      <c r="U160" s="30"/>
      <c r="W160" s="30"/>
      <c r="X160" s="30"/>
      <c r="Y160" s="464">
        <f>Y161+T161+U161</f>
        <v>175451.81000000003</v>
      </c>
      <c r="AH160" s="4"/>
      <c r="AI160" s="138"/>
      <c r="AJ160" s="138"/>
      <c r="AK160" s="138"/>
      <c r="AO160" s="30" t="s">
        <v>351</v>
      </c>
    </row>
    <row r="161" spans="1:41" s="2" customFormat="1" ht="15" customHeight="1" x14ac:dyDescent="0.2">
      <c r="A161" s="744" t="s">
        <v>7</v>
      </c>
      <c r="B161" s="745"/>
      <c r="C161" s="746"/>
      <c r="D161" s="450"/>
      <c r="F161" s="465">
        <v>1718473.5099999995</v>
      </c>
      <c r="G161" s="465">
        <v>122854.59</v>
      </c>
      <c r="H161" s="465">
        <v>1595618.9199999997</v>
      </c>
      <c r="J161" s="465">
        <v>53361.630000000005</v>
      </c>
      <c r="K161" s="465">
        <v>4076.0099999999998</v>
      </c>
      <c r="L161" s="62"/>
      <c r="M161" s="465">
        <v>149.64000000000001</v>
      </c>
      <c r="N161" s="465">
        <v>5356.81</v>
      </c>
      <c r="O161" s="62"/>
      <c r="P161" s="465">
        <v>332618.48</v>
      </c>
      <c r="Q161" s="465">
        <v>35888.560000000005</v>
      </c>
      <c r="R161" s="465">
        <v>295292.38000000006</v>
      </c>
      <c r="S161" s="62"/>
      <c r="T161" s="465">
        <v>3612.42</v>
      </c>
      <c r="U161" s="465">
        <v>9.35</v>
      </c>
      <c r="V161" s="62"/>
      <c r="W161" s="465">
        <v>189738.37999999998</v>
      </c>
      <c r="X161" s="465">
        <v>17908.340000000004</v>
      </c>
      <c r="Y161" s="465">
        <v>171830.04</v>
      </c>
      <c r="Z161" s="62"/>
      <c r="AA161" s="465">
        <v>2129307.1999999997</v>
      </c>
      <c r="AB161" s="465"/>
      <c r="AC161" s="465">
        <v>2240830.3700000006</v>
      </c>
      <c r="AD161" s="465">
        <v>176651.49000000008</v>
      </c>
      <c r="AE161" s="465">
        <v>2062741.3399999996</v>
      </c>
      <c r="AF161" s="465">
        <v>57123.69000000001</v>
      </c>
      <c r="AG161" s="465">
        <v>9442.17</v>
      </c>
      <c r="AH161" s="4"/>
      <c r="AI161" s="140">
        <v>84553.440000000017</v>
      </c>
      <c r="AJ161" s="140">
        <v>7044</v>
      </c>
      <c r="AK161" s="140">
        <v>77508.540000000023</v>
      </c>
      <c r="AM161" s="4">
        <f>AC161+AI161</f>
        <v>2325383.8100000005</v>
      </c>
      <c r="AO161" s="4">
        <f>Y161+U161+T161</f>
        <v>175451.81000000003</v>
      </c>
    </row>
    <row r="162" spans="1:41" s="2" customFormat="1" ht="11.25" x14ac:dyDescent="0.2">
      <c r="B162" s="31"/>
      <c r="C162" s="149"/>
      <c r="D162" s="450"/>
      <c r="F162" s="137"/>
      <c r="G162" s="230"/>
      <c r="H162" s="230"/>
      <c r="J162" s="137"/>
      <c r="K162" s="137"/>
      <c r="M162" s="137"/>
      <c r="N162" s="137"/>
      <c r="P162" s="137"/>
      <c r="Q162" s="137"/>
      <c r="R162" s="137"/>
      <c r="T162" s="137"/>
      <c r="U162" s="137"/>
      <c r="W162" s="137"/>
      <c r="X162" s="137"/>
      <c r="Y162" s="137"/>
      <c r="AA162" s="137"/>
      <c r="AH162" s="4"/>
      <c r="AI162" s="138"/>
      <c r="AJ162" s="138"/>
      <c r="AK162" s="138"/>
    </row>
    <row r="163" spans="1:41" s="2" customFormat="1" ht="15" customHeight="1" x14ac:dyDescent="0.2">
      <c r="A163" s="742" t="s">
        <v>8</v>
      </c>
      <c r="B163" s="742"/>
      <c r="C163" s="742"/>
      <c r="D163" s="466"/>
      <c r="E163" s="446"/>
      <c r="F163" s="147">
        <v>1055090.4200000002</v>
      </c>
      <c r="G163" s="147">
        <v>111403.36</v>
      </c>
      <c r="H163" s="147">
        <v>943687.06</v>
      </c>
      <c r="J163" s="147">
        <v>29628.390000000003</v>
      </c>
      <c r="K163" s="147">
        <v>2903.2</v>
      </c>
      <c r="M163" s="147">
        <v>9.5300000000000011</v>
      </c>
      <c r="N163" s="147">
        <v>0</v>
      </c>
      <c r="P163" s="147">
        <v>40373.80999999999</v>
      </c>
      <c r="Q163" s="147">
        <v>1931.5</v>
      </c>
      <c r="R163" s="147">
        <v>38442.30999999999</v>
      </c>
      <c r="T163" s="147">
        <v>3558.42</v>
      </c>
      <c r="U163" s="147">
        <v>3.35</v>
      </c>
      <c r="W163" s="147">
        <v>129516.85</v>
      </c>
      <c r="X163" s="147">
        <v>15609.660000000002</v>
      </c>
      <c r="Y163" s="147">
        <v>113907.19</v>
      </c>
      <c r="AA163" s="147">
        <v>1132139.45</v>
      </c>
      <c r="AC163" s="147">
        <v>1224981.0799999998</v>
      </c>
      <c r="AD163" s="147">
        <v>128944.52</v>
      </c>
      <c r="AE163" s="147">
        <v>1096036.56</v>
      </c>
      <c r="AF163" s="147">
        <v>33196.339999999997</v>
      </c>
      <c r="AG163" s="147">
        <v>2906.5499999999997</v>
      </c>
      <c r="AH163" s="4"/>
      <c r="AI163" s="147">
        <v>14827.08</v>
      </c>
      <c r="AJ163" s="147">
        <v>3281</v>
      </c>
      <c r="AK163" s="147">
        <v>11546.08</v>
      </c>
      <c r="AO163" s="4">
        <f t="shared" ref="AO163:AO166" si="15">Y163+U163+T163</f>
        <v>117468.96</v>
      </c>
    </row>
    <row r="164" spans="1:41" s="2" customFormat="1" ht="15" customHeight="1" x14ac:dyDescent="0.2">
      <c r="A164" s="742" t="s">
        <v>9</v>
      </c>
      <c r="B164" s="742"/>
      <c r="C164" s="742"/>
      <c r="D164" s="466"/>
      <c r="E164" s="446"/>
      <c r="F164" s="147">
        <v>319978.5</v>
      </c>
      <c r="G164" s="147">
        <v>7974</v>
      </c>
      <c r="H164" s="147">
        <v>312004.5</v>
      </c>
      <c r="J164" s="147">
        <v>10261.18</v>
      </c>
      <c r="K164" s="147">
        <v>491.94000000000005</v>
      </c>
      <c r="M164" s="147">
        <v>17</v>
      </c>
      <c r="N164" s="147">
        <v>106</v>
      </c>
      <c r="P164" s="147">
        <v>73258.790000000008</v>
      </c>
      <c r="Q164" s="147">
        <v>5817.22</v>
      </c>
      <c r="R164" s="147">
        <v>66003.569999999992</v>
      </c>
      <c r="T164" s="147">
        <v>2</v>
      </c>
      <c r="U164" s="147">
        <v>0</v>
      </c>
      <c r="W164" s="147">
        <v>49695.560000000005</v>
      </c>
      <c r="X164" s="147">
        <v>1580.5400000000002</v>
      </c>
      <c r="Y164" s="147">
        <v>48115.020000000004</v>
      </c>
      <c r="AA164" s="147">
        <v>437001.20999999996</v>
      </c>
      <c r="AC164" s="147">
        <v>442932.85000000003</v>
      </c>
      <c r="AD164" s="147">
        <v>15371.759999999998</v>
      </c>
      <c r="AE164" s="147">
        <v>426123.09</v>
      </c>
      <c r="AF164" s="147">
        <v>10280.18</v>
      </c>
      <c r="AG164" s="147">
        <v>597.94000000000005</v>
      </c>
      <c r="AH164" s="4"/>
      <c r="AI164" s="147">
        <v>35565.649999999994</v>
      </c>
      <c r="AJ164" s="147">
        <v>545</v>
      </c>
      <c r="AK164" s="147">
        <v>35021.21</v>
      </c>
      <c r="AO164" s="4">
        <f t="shared" si="15"/>
        <v>48117.020000000004</v>
      </c>
    </row>
    <row r="165" spans="1:41" s="2" customFormat="1" ht="15" customHeight="1" x14ac:dyDescent="0.2">
      <c r="A165" s="742" t="s">
        <v>10</v>
      </c>
      <c r="B165" s="742"/>
      <c r="C165" s="742"/>
      <c r="D165" s="466"/>
      <c r="E165" s="446"/>
      <c r="F165" s="147">
        <v>144350.98000000001</v>
      </c>
      <c r="G165" s="147">
        <v>3477.2300000000005</v>
      </c>
      <c r="H165" s="147">
        <v>140873.75</v>
      </c>
      <c r="J165" s="147">
        <v>7155.82</v>
      </c>
      <c r="K165" s="147">
        <v>252.41000000000003</v>
      </c>
      <c r="M165" s="147">
        <v>18.869999999999997</v>
      </c>
      <c r="N165" s="147">
        <v>4.26</v>
      </c>
      <c r="P165" s="147">
        <v>85773.81</v>
      </c>
      <c r="Q165" s="147">
        <v>12879.289999999999</v>
      </c>
      <c r="R165" s="147">
        <v>72894.52</v>
      </c>
      <c r="T165" s="147">
        <v>51</v>
      </c>
      <c r="U165" s="147">
        <v>0</v>
      </c>
      <c r="W165" s="147">
        <v>7564.39</v>
      </c>
      <c r="X165" s="147">
        <v>545.14</v>
      </c>
      <c r="Y165" s="147">
        <v>7019.25</v>
      </c>
      <c r="AA165" s="147">
        <v>228269.87999999995</v>
      </c>
      <c r="AC165" s="147">
        <v>237689.18</v>
      </c>
      <c r="AD165" s="147">
        <v>16901.66</v>
      </c>
      <c r="AE165" s="147">
        <v>220787.51999999996</v>
      </c>
      <c r="AF165" s="147">
        <v>7225.69</v>
      </c>
      <c r="AG165" s="147">
        <v>256.67</v>
      </c>
      <c r="AH165" s="4"/>
      <c r="AI165" s="147">
        <v>5837.53</v>
      </c>
      <c r="AJ165" s="147">
        <v>0</v>
      </c>
      <c r="AK165" s="147">
        <v>5837.3</v>
      </c>
      <c r="AO165" s="4">
        <f t="shared" si="15"/>
        <v>7070.25</v>
      </c>
    </row>
    <row r="166" spans="1:41" s="2" customFormat="1" ht="15" customHeight="1" x14ac:dyDescent="0.2">
      <c r="A166" s="742" t="s">
        <v>11</v>
      </c>
      <c r="B166" s="742"/>
      <c r="C166" s="742"/>
      <c r="D166" s="466"/>
      <c r="E166" s="446"/>
      <c r="F166" s="147">
        <v>199053.61000000002</v>
      </c>
      <c r="G166" s="147">
        <v>0</v>
      </c>
      <c r="H166" s="147">
        <v>199053.61000000002</v>
      </c>
      <c r="J166" s="147">
        <v>6316.2400000000025</v>
      </c>
      <c r="K166" s="147">
        <v>428.46</v>
      </c>
      <c r="M166" s="147">
        <v>104.24000000000002</v>
      </c>
      <c r="N166" s="147">
        <v>5246.55</v>
      </c>
      <c r="P166" s="147">
        <v>133212.07</v>
      </c>
      <c r="Q166" s="147">
        <v>15260.55</v>
      </c>
      <c r="R166" s="147">
        <v>117951.98</v>
      </c>
      <c r="T166" s="147">
        <v>1</v>
      </c>
      <c r="U166" s="147">
        <v>6</v>
      </c>
      <c r="W166" s="147">
        <v>2961.58</v>
      </c>
      <c r="X166" s="147">
        <v>173</v>
      </c>
      <c r="Y166" s="147">
        <v>2788.58</v>
      </c>
      <c r="AA166" s="147">
        <v>331896.66000000009</v>
      </c>
      <c r="AC166" s="147">
        <v>335227.25999999983</v>
      </c>
      <c r="AD166" s="147">
        <v>15433.55</v>
      </c>
      <c r="AE166" s="147">
        <v>319794.16999999993</v>
      </c>
      <c r="AF166" s="147">
        <v>6421.4800000000014</v>
      </c>
      <c r="AG166" s="147">
        <v>5681.01</v>
      </c>
      <c r="AH166" s="4"/>
      <c r="AI166" s="147">
        <v>28323.18</v>
      </c>
      <c r="AJ166" s="147">
        <v>3218</v>
      </c>
      <c r="AK166" s="147">
        <v>25103.95</v>
      </c>
      <c r="AO166" s="4">
        <f t="shared" si="15"/>
        <v>2795.58</v>
      </c>
    </row>
    <row r="167" spans="1:41" s="2" customFormat="1" ht="15" customHeight="1" x14ac:dyDescent="0.2">
      <c r="A167" s="467"/>
      <c r="B167" s="467"/>
      <c r="C167" s="467"/>
      <c r="D167" s="466"/>
      <c r="E167" s="446"/>
      <c r="F167" s="151"/>
      <c r="G167" s="468"/>
      <c r="H167" s="151"/>
      <c r="J167" s="151"/>
      <c r="K167" s="151"/>
      <c r="M167" s="151"/>
      <c r="N167" s="151"/>
      <c r="P167" s="151"/>
      <c r="Q167" s="151"/>
      <c r="R167" s="151"/>
      <c r="T167" s="151"/>
      <c r="U167" s="151"/>
      <c r="W167" s="151"/>
      <c r="X167" s="151"/>
      <c r="Y167" s="151"/>
      <c r="AA167" s="151"/>
      <c r="AC167" s="151"/>
      <c r="AD167" s="151"/>
      <c r="AE167" s="151"/>
      <c r="AF167" s="151"/>
      <c r="AG167" s="151"/>
      <c r="AH167" s="4"/>
      <c r="AI167" s="4"/>
      <c r="AJ167" s="4"/>
      <c r="AK167" s="4"/>
      <c r="AL167" s="4"/>
    </row>
    <row r="168" spans="1:41" s="2" customFormat="1" ht="11.25" x14ac:dyDescent="0.2">
      <c r="A168" s="743" t="s">
        <v>225</v>
      </c>
      <c r="B168" s="743"/>
      <c r="C168" s="743"/>
      <c r="D168" s="450"/>
      <c r="F168" s="137"/>
      <c r="G168" s="137">
        <f>G169/F169</f>
        <v>0.10283587238589882</v>
      </c>
      <c r="H168" s="464"/>
      <c r="J168" s="4"/>
      <c r="K168" s="4"/>
      <c r="M168" s="30"/>
      <c r="N168" s="30"/>
      <c r="O168" s="30"/>
      <c r="P168" s="30"/>
      <c r="Q168" s="30"/>
      <c r="R168" s="30"/>
      <c r="S168" s="30"/>
      <c r="T168" s="30"/>
      <c r="U168" s="30"/>
      <c r="W168" s="30"/>
      <c r="X168" s="30"/>
      <c r="Y168" s="464"/>
      <c r="AH168" s="4"/>
      <c r="AI168" s="469" t="s">
        <v>352</v>
      </c>
      <c r="AJ168" s="469" t="s">
        <v>352</v>
      </c>
      <c r="AK168" s="469" t="s">
        <v>352</v>
      </c>
      <c r="AL168" s="4"/>
    </row>
    <row r="169" spans="1:41" s="2" customFormat="1" ht="15" customHeight="1" x14ac:dyDescent="0.2">
      <c r="A169" s="744" t="s">
        <v>7</v>
      </c>
      <c r="B169" s="745"/>
      <c r="C169" s="746"/>
      <c r="D169" s="450"/>
      <c r="F169" s="465">
        <v>1632503.2900000005</v>
      </c>
      <c r="G169" s="465">
        <v>167879.90000000002</v>
      </c>
      <c r="H169" s="465">
        <v>1464623.3900000001</v>
      </c>
      <c r="J169" s="465">
        <v>61784.869999999988</v>
      </c>
      <c r="K169" s="465">
        <v>11637.71</v>
      </c>
      <c r="L169" s="62"/>
      <c r="M169" s="465">
        <v>1327.47</v>
      </c>
      <c r="N169" s="465">
        <v>2476.27</v>
      </c>
      <c r="O169" s="62"/>
      <c r="P169" s="465">
        <v>316404.25</v>
      </c>
      <c r="Q169" s="465">
        <v>34137.810000000005</v>
      </c>
      <c r="R169" s="465">
        <v>281266.44</v>
      </c>
      <c r="S169" s="62"/>
      <c r="T169" s="465">
        <v>1995.46</v>
      </c>
      <c r="U169" s="465">
        <v>5196.9400000000005</v>
      </c>
      <c r="V169" s="62"/>
      <c r="W169" s="465">
        <v>203371.59</v>
      </c>
      <c r="X169" s="465">
        <v>25789.999999999993</v>
      </c>
      <c r="Y169" s="465">
        <v>177581.59000000003</v>
      </c>
      <c r="Z169" s="62"/>
      <c r="AA169" s="465">
        <v>1937052.0899999999</v>
      </c>
      <c r="AB169" s="465"/>
      <c r="AC169" s="465">
        <v>2080441.0799999998</v>
      </c>
      <c r="AD169" s="465">
        <v>227807.71</v>
      </c>
      <c r="AE169" s="465">
        <v>1852633.3700000003</v>
      </c>
      <c r="AF169" s="465">
        <v>65107.8</v>
      </c>
      <c r="AG169" s="465">
        <v>19310.920000000002</v>
      </c>
      <c r="AH169" s="4"/>
      <c r="AI169" s="465">
        <v>244566.19999999995</v>
      </c>
      <c r="AJ169" s="465">
        <v>34137.80999999999</v>
      </c>
      <c r="AK169" s="465">
        <f>AI169-AJ169</f>
        <v>210428.38999999996</v>
      </c>
      <c r="AL169" s="4"/>
      <c r="AO169" s="4">
        <f>Y169+U169+T169</f>
        <v>184773.99000000002</v>
      </c>
    </row>
    <row r="170" spans="1:41" s="2" customFormat="1" ht="11.25" x14ac:dyDescent="0.2">
      <c r="B170" s="31"/>
      <c r="C170" s="149"/>
      <c r="D170" s="450"/>
      <c r="F170" s="137"/>
      <c r="G170" s="230"/>
      <c r="H170" s="230"/>
      <c r="J170" s="137"/>
      <c r="K170" s="137"/>
      <c r="M170" s="137"/>
      <c r="N170" s="137"/>
      <c r="Q170" s="137"/>
      <c r="R170" s="137"/>
      <c r="T170" s="137"/>
      <c r="U170" s="137"/>
      <c r="W170" s="137"/>
      <c r="X170" s="137"/>
      <c r="Y170" s="137"/>
      <c r="AA170" s="137"/>
      <c r="AH170" s="4"/>
      <c r="AJ170" s="137"/>
      <c r="AK170" s="137"/>
      <c r="AL170" s="4"/>
    </row>
    <row r="171" spans="1:41" s="2" customFormat="1" ht="15" customHeight="1" x14ac:dyDescent="0.2">
      <c r="A171" s="742" t="s">
        <v>8</v>
      </c>
      <c r="B171" s="742"/>
      <c r="C171" s="742"/>
      <c r="D171" s="466"/>
      <c r="E171" s="446"/>
      <c r="F171" s="147">
        <v>983634.19999999984</v>
      </c>
      <c r="G171" s="147">
        <v>157563.49000000002</v>
      </c>
      <c r="H171" s="147">
        <v>826070.71000000008</v>
      </c>
      <c r="J171" s="147">
        <v>26207.46</v>
      </c>
      <c r="K171" s="147">
        <v>2863.53</v>
      </c>
      <c r="M171" s="147">
        <v>23.400000000000002</v>
      </c>
      <c r="N171" s="147">
        <v>1421.77</v>
      </c>
      <c r="P171" s="147">
        <v>33326.67</v>
      </c>
      <c r="Q171" s="147">
        <v>690</v>
      </c>
      <c r="R171" s="147">
        <v>32636.67</v>
      </c>
      <c r="T171" s="147">
        <v>81.400000000000006</v>
      </c>
      <c r="U171" s="147">
        <v>397.6</v>
      </c>
      <c r="W171" s="147">
        <v>141847.22999999998</v>
      </c>
      <c r="X171" s="147">
        <v>21480.560000000005</v>
      </c>
      <c r="Y171" s="147">
        <v>120366.67</v>
      </c>
      <c r="AA171" s="147">
        <v>977959.21000000008</v>
      </c>
      <c r="AC171" s="147">
        <v>1126698.0999999999</v>
      </c>
      <c r="AD171" s="147">
        <v>179734.05000000002</v>
      </c>
      <c r="AE171" s="147">
        <v>946964.04999999993</v>
      </c>
      <c r="AF171" s="147">
        <v>26312.26</v>
      </c>
      <c r="AG171" s="147">
        <v>4682.8999999999996</v>
      </c>
      <c r="AH171" s="4"/>
      <c r="AI171" s="147">
        <v>1216.67</v>
      </c>
      <c r="AJ171" s="147">
        <v>690</v>
      </c>
      <c r="AK171" s="147">
        <f t="shared" ref="AK171:AK174" si="16">AI171-AJ171</f>
        <v>526.67000000000007</v>
      </c>
      <c r="AL171" s="4"/>
      <c r="AO171" s="4">
        <f t="shared" ref="AO171:AO174" si="17">Y171+U171+T171</f>
        <v>120845.67</v>
      </c>
    </row>
    <row r="172" spans="1:41" s="2" customFormat="1" ht="15" customHeight="1" x14ac:dyDescent="0.2">
      <c r="A172" s="742" t="s">
        <v>9</v>
      </c>
      <c r="B172" s="742"/>
      <c r="C172" s="742"/>
      <c r="D172" s="466"/>
      <c r="E172" s="446"/>
      <c r="F172" s="147">
        <v>314948.04000000004</v>
      </c>
      <c r="G172" s="147">
        <v>9029.92</v>
      </c>
      <c r="H172" s="147">
        <v>305918.12</v>
      </c>
      <c r="J172" s="147">
        <v>7207.3099999999986</v>
      </c>
      <c r="K172" s="147">
        <v>2366.9299999999998</v>
      </c>
      <c r="M172" s="147">
        <v>38.79</v>
      </c>
      <c r="N172" s="147">
        <v>0</v>
      </c>
      <c r="P172" s="147">
        <v>87957.72</v>
      </c>
      <c r="Q172" s="147">
        <v>14673.67</v>
      </c>
      <c r="R172" s="147">
        <v>73284.05</v>
      </c>
      <c r="T172" s="147">
        <v>202.14</v>
      </c>
      <c r="U172" s="147">
        <v>0</v>
      </c>
      <c r="W172" s="147">
        <v>48374.400000000001</v>
      </c>
      <c r="X172" s="147">
        <v>3137.81</v>
      </c>
      <c r="Y172" s="147">
        <v>45236.590000000004</v>
      </c>
      <c r="AA172" s="147">
        <v>426746.56999999995</v>
      </c>
      <c r="AC172" s="147">
        <v>443772.80000000005</v>
      </c>
      <c r="AD172" s="147">
        <v>26841.4</v>
      </c>
      <c r="AE172" s="147">
        <v>416931.39999999997</v>
      </c>
      <c r="AF172" s="147">
        <v>7448.2399999999989</v>
      </c>
      <c r="AG172" s="147">
        <v>2366.9299999999998</v>
      </c>
      <c r="AH172" s="4"/>
      <c r="AI172" s="147">
        <v>80450.36</v>
      </c>
      <c r="AJ172" s="147">
        <v>14673.67</v>
      </c>
      <c r="AK172" s="147">
        <f t="shared" si="16"/>
        <v>65776.69</v>
      </c>
      <c r="AL172" s="4"/>
      <c r="AO172" s="4">
        <f t="shared" si="17"/>
        <v>45438.73</v>
      </c>
    </row>
    <row r="173" spans="1:41" s="2" customFormat="1" ht="15" customHeight="1" x14ac:dyDescent="0.2">
      <c r="A173" s="742" t="s">
        <v>10</v>
      </c>
      <c r="B173" s="742"/>
      <c r="C173" s="742"/>
      <c r="D173" s="466"/>
      <c r="E173" s="446"/>
      <c r="F173" s="147">
        <v>136624.82</v>
      </c>
      <c r="G173" s="147">
        <v>1286.4899999999996</v>
      </c>
      <c r="H173" s="147">
        <v>135338.33000000002</v>
      </c>
      <c r="J173" s="147">
        <v>8419.7899999999991</v>
      </c>
      <c r="K173" s="147">
        <v>3208.86</v>
      </c>
      <c r="M173" s="147">
        <v>4.8</v>
      </c>
      <c r="N173" s="147">
        <v>11.5</v>
      </c>
      <c r="P173" s="147">
        <v>67499.66</v>
      </c>
      <c r="Q173" s="147">
        <v>13105.91</v>
      </c>
      <c r="R173" s="147">
        <v>54393.75</v>
      </c>
      <c r="T173" s="147">
        <v>1286</v>
      </c>
      <c r="U173" s="147">
        <v>816.24</v>
      </c>
      <c r="W173" s="147">
        <v>9865.84</v>
      </c>
      <c r="X173" s="147">
        <v>1048.0300000000002</v>
      </c>
      <c r="Y173" s="147">
        <v>8817.81</v>
      </c>
      <c r="AA173" s="147">
        <v>200897.08</v>
      </c>
      <c r="AC173" s="147">
        <v>202590.31999999995</v>
      </c>
      <c r="AD173" s="147">
        <v>15440.43</v>
      </c>
      <c r="AE173" s="147">
        <v>187149.88999999998</v>
      </c>
      <c r="AF173" s="147">
        <v>9710.59</v>
      </c>
      <c r="AG173" s="147">
        <v>4036.6</v>
      </c>
      <c r="AH173" s="4"/>
      <c r="AI173" s="147">
        <v>56099.66</v>
      </c>
      <c r="AJ173" s="147">
        <v>13105.91</v>
      </c>
      <c r="AK173" s="147">
        <f t="shared" si="16"/>
        <v>42993.75</v>
      </c>
      <c r="AL173" s="4"/>
      <c r="AO173" s="4">
        <f t="shared" si="17"/>
        <v>10920.05</v>
      </c>
    </row>
    <row r="174" spans="1:41" s="2" customFormat="1" ht="15" customHeight="1" x14ac:dyDescent="0.2">
      <c r="A174" s="742" t="s">
        <v>11</v>
      </c>
      <c r="B174" s="742"/>
      <c r="C174" s="742"/>
      <c r="D174" s="466"/>
      <c r="E174" s="446"/>
      <c r="F174" s="147">
        <v>197296.23000000004</v>
      </c>
      <c r="G174" s="147">
        <v>0</v>
      </c>
      <c r="H174" s="147">
        <v>197296.23000000004</v>
      </c>
      <c r="J174" s="147">
        <v>19950.310000000001</v>
      </c>
      <c r="K174" s="147">
        <v>3198.3899999999994</v>
      </c>
      <c r="M174" s="147">
        <v>1260.48</v>
      </c>
      <c r="N174" s="147">
        <v>1043</v>
      </c>
      <c r="P174" s="147">
        <v>127620.2</v>
      </c>
      <c r="Q174" s="147">
        <v>5668.2300000000005</v>
      </c>
      <c r="R174" s="147">
        <v>121951.97</v>
      </c>
      <c r="T174" s="147">
        <v>425.91999999999996</v>
      </c>
      <c r="U174" s="147">
        <v>3983.1</v>
      </c>
      <c r="W174" s="147">
        <v>3284.1200000000003</v>
      </c>
      <c r="X174" s="147">
        <v>123.59999999999997</v>
      </c>
      <c r="Y174" s="147">
        <v>3160.5199999999995</v>
      </c>
      <c r="AA174" s="147">
        <v>331449.2300000001</v>
      </c>
      <c r="AC174" s="147">
        <v>307379.86</v>
      </c>
      <c r="AD174" s="147">
        <v>5791.8300000000008</v>
      </c>
      <c r="AE174" s="147">
        <v>301588.02999999997</v>
      </c>
      <c r="AF174" s="147">
        <v>21636.710000000003</v>
      </c>
      <c r="AG174" s="147">
        <v>8224.49</v>
      </c>
      <c r="AH174" s="4"/>
      <c r="AI174" s="147">
        <v>106799.51000000001</v>
      </c>
      <c r="AJ174" s="147">
        <v>5668.2300000000005</v>
      </c>
      <c r="AK174" s="147">
        <f t="shared" si="16"/>
        <v>101131.28000000001</v>
      </c>
      <c r="AL174" s="4"/>
      <c r="AO174" s="4">
        <f t="shared" si="17"/>
        <v>7569.5399999999991</v>
      </c>
    </row>
    <row r="175" spans="1:41" s="2" customFormat="1" ht="15" customHeight="1" x14ac:dyDescent="0.2">
      <c r="A175" s="467"/>
      <c r="B175" s="467"/>
      <c r="C175" s="467"/>
      <c r="D175" s="466"/>
      <c r="E175" s="446"/>
      <c r="F175" s="151"/>
      <c r="G175" s="468"/>
      <c r="H175" s="151"/>
      <c r="J175" s="151"/>
      <c r="K175" s="151"/>
      <c r="M175" s="151"/>
      <c r="N175" s="151"/>
      <c r="P175" s="151"/>
      <c r="Q175" s="151"/>
      <c r="R175" s="151"/>
      <c r="T175" s="151"/>
      <c r="U175" s="151"/>
      <c r="W175" s="151"/>
      <c r="X175" s="151"/>
      <c r="Y175" s="151"/>
      <c r="AA175" s="151"/>
      <c r="AC175" s="151"/>
      <c r="AD175" s="151"/>
      <c r="AE175" s="151"/>
      <c r="AF175" s="151"/>
      <c r="AG175" s="151"/>
      <c r="AH175" s="4"/>
      <c r="AL175" s="4"/>
    </row>
    <row r="176" spans="1:41" s="2" customFormat="1" ht="15" customHeight="1" x14ac:dyDescent="0.2">
      <c r="A176" s="747" t="s">
        <v>226</v>
      </c>
      <c r="B176" s="747"/>
      <c r="C176" s="747"/>
      <c r="D176" s="470"/>
      <c r="E176" s="471"/>
      <c r="F176" s="245"/>
      <c r="G176" s="244">
        <f>G177/F177</f>
        <v>0.15627815904389317</v>
      </c>
      <c r="H176" s="472"/>
      <c r="I176" s="471"/>
      <c r="J176" s="473"/>
      <c r="K176" s="474"/>
      <c r="L176" s="471"/>
      <c r="M176" s="245"/>
      <c r="N176" s="245"/>
      <c r="O176" s="471"/>
      <c r="P176" s="245"/>
      <c r="Q176" s="245"/>
      <c r="R176" s="245"/>
      <c r="S176" s="471"/>
      <c r="T176" s="245"/>
      <c r="U176" s="245"/>
      <c r="V176" s="471"/>
      <c r="W176" s="245"/>
      <c r="X176" s="245"/>
      <c r="Y176" s="245"/>
      <c r="Z176" s="245"/>
      <c r="AA176" s="471"/>
      <c r="AB176" s="471"/>
      <c r="AC176" s="471"/>
      <c r="AD176" s="471"/>
      <c r="AE176" s="471"/>
      <c r="AF176" s="471"/>
      <c r="AG176" s="471"/>
      <c r="AH176" s="4"/>
      <c r="AI176" s="4"/>
      <c r="AJ176" s="4"/>
      <c r="AK176" s="4"/>
      <c r="AL176" s="4"/>
    </row>
    <row r="177" spans="1:38" s="2" customFormat="1" ht="15" customHeight="1" x14ac:dyDescent="0.2">
      <c r="A177" s="748" t="s">
        <v>7</v>
      </c>
      <c r="B177" s="749"/>
      <c r="C177" s="750"/>
      <c r="D177" s="470"/>
      <c r="E177" s="471"/>
      <c r="F177" s="475">
        <v>1667470.4999999993</v>
      </c>
      <c r="G177" s="475">
        <v>260589.21999999994</v>
      </c>
      <c r="H177" s="475">
        <v>1406881.2799999996</v>
      </c>
      <c r="I177" s="471"/>
      <c r="J177" s="475">
        <v>55481.230000000018</v>
      </c>
      <c r="K177" s="475">
        <v>13547.56</v>
      </c>
      <c r="L177" s="476"/>
      <c r="M177" s="475">
        <v>2079.7200000000003</v>
      </c>
      <c r="N177" s="475">
        <v>8095.79</v>
      </c>
      <c r="O177" s="476"/>
      <c r="P177" s="475">
        <v>241750.71999999994</v>
      </c>
      <c r="Q177" s="475">
        <v>27674.060000000005</v>
      </c>
      <c r="R177" s="475">
        <v>214076.66000000003</v>
      </c>
      <c r="S177" s="476"/>
      <c r="T177" s="475">
        <v>4425.0599999999995</v>
      </c>
      <c r="U177" s="475">
        <v>3338.0299999999997</v>
      </c>
      <c r="V177" s="476"/>
      <c r="W177" s="475">
        <v>198809.50999999995</v>
      </c>
      <c r="X177" s="475">
        <v>23183.68</v>
      </c>
      <c r="Y177" s="475">
        <v>175625.83000000002</v>
      </c>
      <c r="Z177" s="476"/>
      <c r="AA177" s="475">
        <v>1883551.1600000004</v>
      </c>
      <c r="AB177" s="475"/>
      <c r="AC177" s="475">
        <v>2108030.7299999995</v>
      </c>
      <c r="AD177" s="475">
        <v>311446.9599999999</v>
      </c>
      <c r="AE177" s="475">
        <v>1796583.7699999998</v>
      </c>
      <c r="AF177" s="475">
        <v>61986.01</v>
      </c>
      <c r="AG177" s="475">
        <v>24981.379999999994</v>
      </c>
      <c r="AH177" s="4"/>
      <c r="AI177" s="4"/>
      <c r="AJ177" s="4"/>
      <c r="AK177" s="4"/>
      <c r="AL177" s="4"/>
    </row>
    <row r="178" spans="1:38" s="2" customFormat="1" ht="15" customHeight="1" x14ac:dyDescent="0.2">
      <c r="A178" s="471"/>
      <c r="B178" s="471"/>
      <c r="C178" s="471"/>
      <c r="D178" s="470"/>
      <c r="E178" s="471"/>
      <c r="F178" s="244"/>
      <c r="G178" s="244"/>
      <c r="H178" s="244"/>
      <c r="I178" s="471"/>
      <c r="J178" s="244"/>
      <c r="K178" s="244"/>
      <c r="L178" s="471"/>
      <c r="M178" s="244"/>
      <c r="N178" s="244"/>
      <c r="O178" s="471"/>
      <c r="P178" s="244"/>
      <c r="Q178" s="244"/>
      <c r="R178" s="244"/>
      <c r="S178" s="471"/>
      <c r="T178" s="244"/>
      <c r="U178" s="244"/>
      <c r="V178" s="471"/>
      <c r="W178" s="244"/>
      <c r="X178" s="244"/>
      <c r="Y178" s="244"/>
      <c r="Z178" s="471"/>
      <c r="AA178" s="244"/>
      <c r="AB178" s="471"/>
      <c r="AC178" s="471"/>
      <c r="AD178" s="471"/>
      <c r="AE178" s="471"/>
      <c r="AF178" s="471"/>
      <c r="AG178" s="471"/>
      <c r="AH178" s="4"/>
      <c r="AI178" s="4"/>
      <c r="AJ178" s="4"/>
      <c r="AK178" s="4"/>
      <c r="AL178" s="4"/>
    </row>
    <row r="179" spans="1:38" s="2" customFormat="1" ht="15" customHeight="1" x14ac:dyDescent="0.2">
      <c r="A179" s="735" t="s">
        <v>8</v>
      </c>
      <c r="B179" s="735"/>
      <c r="C179" s="735"/>
      <c r="D179" s="477"/>
      <c r="E179" s="478"/>
      <c r="F179" s="247">
        <v>975764.47999999998</v>
      </c>
      <c r="G179" s="247">
        <v>237537.27999999997</v>
      </c>
      <c r="H179" s="247">
        <v>738227.20000000007</v>
      </c>
      <c r="I179" s="471"/>
      <c r="J179" s="247">
        <v>31349</v>
      </c>
      <c r="K179" s="247">
        <v>4841.1100000000006</v>
      </c>
      <c r="L179" s="471"/>
      <c r="M179" s="247">
        <v>16.009999999999998</v>
      </c>
      <c r="N179" s="247">
        <v>1440.15</v>
      </c>
      <c r="O179" s="471"/>
      <c r="P179" s="247">
        <v>5338.09</v>
      </c>
      <c r="Q179" s="247">
        <v>3529.05</v>
      </c>
      <c r="R179" s="247">
        <v>1809.04</v>
      </c>
      <c r="S179" s="471"/>
      <c r="T179" s="247">
        <v>3831.33</v>
      </c>
      <c r="U179" s="247">
        <v>2007.3</v>
      </c>
      <c r="V179" s="471"/>
      <c r="W179" s="247">
        <v>138537.12000000002</v>
      </c>
      <c r="X179" s="247">
        <v>17732.95</v>
      </c>
      <c r="Y179" s="247">
        <v>120804.17</v>
      </c>
      <c r="Z179" s="471"/>
      <c r="AA179" s="247">
        <v>904325.31</v>
      </c>
      <c r="AB179" s="471"/>
      <c r="AC179" s="247">
        <v>1119639.6900000002</v>
      </c>
      <c r="AD179" s="247">
        <v>258799.27999999994</v>
      </c>
      <c r="AE179" s="247">
        <v>860840.41</v>
      </c>
      <c r="AF179" s="247">
        <v>35196.339999999997</v>
      </c>
      <c r="AG179" s="247">
        <v>8288.5600000000013</v>
      </c>
      <c r="AH179" s="4"/>
      <c r="AI179" s="4"/>
      <c r="AJ179" s="4"/>
      <c r="AK179" s="4"/>
      <c r="AL179" s="4"/>
    </row>
    <row r="180" spans="1:38" s="2" customFormat="1" ht="15" customHeight="1" x14ac:dyDescent="0.2">
      <c r="A180" s="735" t="s">
        <v>9</v>
      </c>
      <c r="B180" s="735"/>
      <c r="C180" s="735"/>
      <c r="D180" s="477"/>
      <c r="E180" s="478"/>
      <c r="F180" s="247">
        <v>339702.53</v>
      </c>
      <c r="G180" s="247">
        <v>13860.849999999999</v>
      </c>
      <c r="H180" s="247">
        <v>325841.68</v>
      </c>
      <c r="I180" s="471"/>
      <c r="J180" s="247">
        <v>8280.82</v>
      </c>
      <c r="K180" s="247">
        <v>993.16</v>
      </c>
      <c r="L180" s="471"/>
      <c r="M180" s="247">
        <v>612.71</v>
      </c>
      <c r="N180" s="247">
        <v>1098</v>
      </c>
      <c r="O180" s="471"/>
      <c r="P180" s="247">
        <v>60655.820000000007</v>
      </c>
      <c r="Q180" s="247">
        <v>4698.8499999999995</v>
      </c>
      <c r="R180" s="247">
        <v>55956.97</v>
      </c>
      <c r="S180" s="471"/>
      <c r="T180" s="247">
        <v>80.900000000000006</v>
      </c>
      <c r="U180" s="247">
        <v>0</v>
      </c>
      <c r="V180" s="471"/>
      <c r="W180" s="247">
        <v>48317.420000000006</v>
      </c>
      <c r="X180" s="247">
        <v>4058.07</v>
      </c>
      <c r="Y180" s="247">
        <v>44259.35</v>
      </c>
      <c r="Z180" s="471"/>
      <c r="AA180" s="247">
        <v>437123.59</v>
      </c>
      <c r="AB180" s="471"/>
      <c r="AC180" s="247">
        <v>448675.76999999996</v>
      </c>
      <c r="AD180" s="247">
        <v>22617.77</v>
      </c>
      <c r="AE180" s="247">
        <v>426057.99999999994</v>
      </c>
      <c r="AF180" s="247">
        <v>8974.43</v>
      </c>
      <c r="AG180" s="247">
        <v>2091.16</v>
      </c>
      <c r="AH180" s="4"/>
      <c r="AI180" s="4"/>
      <c r="AJ180" s="4"/>
      <c r="AK180" s="4"/>
      <c r="AL180" s="4"/>
    </row>
    <row r="181" spans="1:38" s="2" customFormat="1" ht="15" customHeight="1" x14ac:dyDescent="0.2">
      <c r="A181" s="735" t="s">
        <v>10</v>
      </c>
      <c r="B181" s="735"/>
      <c r="C181" s="735"/>
      <c r="D181" s="477"/>
      <c r="E181" s="478"/>
      <c r="F181" s="247">
        <v>139348.97999999998</v>
      </c>
      <c r="G181" s="247">
        <v>9191.09</v>
      </c>
      <c r="H181" s="247">
        <v>130157.89</v>
      </c>
      <c r="I181" s="471"/>
      <c r="J181" s="247">
        <v>7441.58</v>
      </c>
      <c r="K181" s="247">
        <v>1832.05</v>
      </c>
      <c r="L181" s="471"/>
      <c r="M181" s="247">
        <v>481.88000000000005</v>
      </c>
      <c r="N181" s="247">
        <v>891.79</v>
      </c>
      <c r="O181" s="471"/>
      <c r="P181" s="247">
        <v>56741.520000000004</v>
      </c>
      <c r="Q181" s="247">
        <v>5997.0300000000016</v>
      </c>
      <c r="R181" s="247">
        <v>50744.49</v>
      </c>
      <c r="S181" s="471"/>
      <c r="T181" s="247">
        <v>349.49</v>
      </c>
      <c r="U181" s="247">
        <v>0</v>
      </c>
      <c r="V181" s="471"/>
      <c r="W181" s="247">
        <v>8852.89</v>
      </c>
      <c r="X181" s="247">
        <v>575.86</v>
      </c>
      <c r="Y181" s="247">
        <v>8277.0299999999988</v>
      </c>
      <c r="Z181" s="471"/>
      <c r="AA181" s="247">
        <v>200176.2</v>
      </c>
      <c r="AB181" s="471"/>
      <c r="AC181" s="247">
        <v>204943.38999999998</v>
      </c>
      <c r="AD181" s="247">
        <v>15763.98</v>
      </c>
      <c r="AE181" s="247">
        <v>189179.40999999997</v>
      </c>
      <c r="AF181" s="247">
        <v>8272.9500000000007</v>
      </c>
      <c r="AG181" s="247">
        <v>2723.84</v>
      </c>
      <c r="AH181" s="4"/>
      <c r="AI181" s="4"/>
      <c r="AJ181" s="4"/>
      <c r="AK181" s="4"/>
      <c r="AL181" s="4"/>
    </row>
    <row r="182" spans="1:38" s="2" customFormat="1" ht="15" customHeight="1" x14ac:dyDescent="0.2">
      <c r="A182" s="735" t="s">
        <v>11</v>
      </c>
      <c r="B182" s="735"/>
      <c r="C182" s="735"/>
      <c r="D182" s="477"/>
      <c r="E182" s="478"/>
      <c r="F182" s="247">
        <v>212654.51</v>
      </c>
      <c r="G182" s="247">
        <v>0</v>
      </c>
      <c r="H182" s="247">
        <v>212654.51</v>
      </c>
      <c r="I182" s="471"/>
      <c r="J182" s="247">
        <v>8409.83</v>
      </c>
      <c r="K182" s="247">
        <v>5881.24</v>
      </c>
      <c r="L182" s="471"/>
      <c r="M182" s="247">
        <v>969.11999999999978</v>
      </c>
      <c r="N182" s="247">
        <v>4665.8499999999995</v>
      </c>
      <c r="O182" s="471"/>
      <c r="P182" s="247">
        <v>119015.29000000001</v>
      </c>
      <c r="Q182" s="247">
        <v>13449.130000000001</v>
      </c>
      <c r="R182" s="247">
        <v>105566.15999999999</v>
      </c>
      <c r="S182" s="471"/>
      <c r="T182" s="247">
        <v>163.34</v>
      </c>
      <c r="U182" s="247">
        <v>1330.73</v>
      </c>
      <c r="V182" s="471"/>
      <c r="W182" s="247">
        <v>3102.08</v>
      </c>
      <c r="X182" s="247">
        <v>816.8</v>
      </c>
      <c r="Y182" s="247">
        <v>2285.2799999999997</v>
      </c>
      <c r="Z182" s="471"/>
      <c r="AA182" s="247">
        <v>341926.05999999994</v>
      </c>
      <c r="AB182" s="471"/>
      <c r="AC182" s="247">
        <v>334771.87999999989</v>
      </c>
      <c r="AD182" s="247">
        <v>14265.93</v>
      </c>
      <c r="AE182" s="247">
        <v>320505.94999999995</v>
      </c>
      <c r="AF182" s="247">
        <v>9542.2899999999991</v>
      </c>
      <c r="AG182" s="247">
        <v>11877.82</v>
      </c>
      <c r="AH182" s="4"/>
      <c r="AI182" s="4"/>
      <c r="AJ182" s="4"/>
      <c r="AK182" s="4"/>
      <c r="AL182" s="4"/>
    </row>
    <row r="183" spans="1:38" s="2" customFormat="1" ht="15" customHeight="1" x14ac:dyDescent="0.2">
      <c r="A183" s="467"/>
      <c r="B183" s="467"/>
      <c r="C183" s="467"/>
      <c r="D183" s="466"/>
      <c r="E183" s="446"/>
      <c r="F183" s="151"/>
      <c r="G183" s="151"/>
      <c r="H183" s="151"/>
      <c r="J183" s="151"/>
      <c r="K183" s="151"/>
      <c r="M183" s="151"/>
      <c r="N183" s="151"/>
      <c r="P183" s="151"/>
      <c r="Q183" s="151"/>
      <c r="R183" s="151"/>
      <c r="T183" s="151"/>
      <c r="U183" s="151"/>
      <c r="W183" s="151"/>
      <c r="X183" s="151"/>
      <c r="Y183" s="151"/>
      <c r="AA183" s="151"/>
      <c r="AC183" s="151"/>
      <c r="AD183" s="151"/>
      <c r="AE183" s="151"/>
      <c r="AF183" s="151"/>
      <c r="AG183" s="151"/>
      <c r="AH183" s="4"/>
      <c r="AI183" s="4"/>
      <c r="AJ183" s="4"/>
      <c r="AK183" s="4"/>
      <c r="AL183" s="4"/>
    </row>
    <row r="184" spans="1:38" s="2" customFormat="1" ht="15" customHeight="1" x14ac:dyDescent="0.2">
      <c r="A184" s="736" t="s">
        <v>227</v>
      </c>
      <c r="B184" s="736"/>
      <c r="C184" s="736"/>
      <c r="D184" s="479"/>
      <c r="E184" s="480"/>
      <c r="F184" s="481"/>
      <c r="G184" s="169">
        <f>G185/F185</f>
        <v>0.15063709946051412</v>
      </c>
      <c r="H184" s="482"/>
      <c r="I184" s="480"/>
      <c r="J184" s="463"/>
      <c r="K184" s="483"/>
      <c r="L184" s="480"/>
      <c r="M184" s="481"/>
      <c r="N184" s="481"/>
      <c r="O184" s="480"/>
      <c r="P184" s="481"/>
      <c r="Q184" s="481"/>
      <c r="R184" s="481"/>
      <c r="S184" s="480"/>
      <c r="T184" s="481"/>
      <c r="U184" s="481"/>
      <c r="V184" s="480"/>
      <c r="W184" s="481"/>
      <c r="X184" s="481"/>
      <c r="Y184" s="481"/>
      <c r="Z184" s="481"/>
      <c r="AA184" s="481"/>
      <c r="AB184" s="480"/>
      <c r="AC184" s="480"/>
      <c r="AD184" s="480"/>
      <c r="AE184" s="480"/>
      <c r="AF184" s="480"/>
      <c r="AG184" s="480"/>
      <c r="AH184" s="4"/>
      <c r="AI184" s="4"/>
      <c r="AJ184" s="4"/>
      <c r="AK184" s="4"/>
      <c r="AL184" s="4"/>
    </row>
    <row r="185" spans="1:38" s="2" customFormat="1" ht="15" customHeight="1" x14ac:dyDescent="0.2">
      <c r="A185" s="737" t="s">
        <v>7</v>
      </c>
      <c r="B185" s="738"/>
      <c r="C185" s="739"/>
      <c r="D185" s="479"/>
      <c r="E185" s="480"/>
      <c r="F185" s="484">
        <v>1687162.0000000005</v>
      </c>
      <c r="G185" s="484">
        <v>254149.19</v>
      </c>
      <c r="H185" s="484">
        <v>1433012.8100000005</v>
      </c>
      <c r="I185" s="480"/>
      <c r="J185" s="484">
        <v>60592.240000000027</v>
      </c>
      <c r="K185" s="484">
        <v>16212.369999999997</v>
      </c>
      <c r="L185" s="485"/>
      <c r="M185" s="484">
        <v>1178.6299999999999</v>
      </c>
      <c r="N185" s="484">
        <v>4611.6200000000008</v>
      </c>
      <c r="O185" s="485"/>
      <c r="P185" s="484">
        <v>228898.63</v>
      </c>
      <c r="Q185" s="484">
        <v>25513.929999999993</v>
      </c>
      <c r="R185" s="484">
        <v>203384.95999999996</v>
      </c>
      <c r="S185" s="485"/>
      <c r="T185" s="484">
        <v>3746.41</v>
      </c>
      <c r="U185" s="484">
        <v>4998</v>
      </c>
      <c r="V185" s="485"/>
      <c r="W185" s="484">
        <v>206250.78999999998</v>
      </c>
      <c r="X185" s="484">
        <v>22098.539999999997</v>
      </c>
      <c r="Y185" s="484">
        <v>184152.24999999997</v>
      </c>
      <c r="Z185" s="485"/>
      <c r="AA185" s="484">
        <v>1911889.29</v>
      </c>
      <c r="AB185" s="484"/>
      <c r="AC185" s="484">
        <v>2122311.4200000004</v>
      </c>
      <c r="AD185" s="484">
        <v>301761.65999999986</v>
      </c>
      <c r="AE185" s="484">
        <v>1820550.0200000003</v>
      </c>
      <c r="AF185" s="484">
        <v>65517.280000000013</v>
      </c>
      <c r="AG185" s="484">
        <v>25821.989999999998</v>
      </c>
      <c r="AH185" s="4"/>
      <c r="AI185" s="4"/>
      <c r="AJ185" s="4"/>
      <c r="AK185" s="4"/>
      <c r="AL185" s="4"/>
    </row>
    <row r="186" spans="1:38" s="2" customFormat="1" ht="15" customHeight="1" x14ac:dyDescent="0.2">
      <c r="A186" s="480"/>
      <c r="B186" s="480"/>
      <c r="C186" s="480"/>
      <c r="D186" s="479"/>
      <c r="E186" s="480"/>
      <c r="F186" s="169"/>
      <c r="G186" s="169"/>
      <c r="H186" s="169"/>
      <c r="I186" s="480"/>
      <c r="J186" s="169"/>
      <c r="K186" s="169"/>
      <c r="L186" s="480"/>
      <c r="M186" s="169"/>
      <c r="N186" s="169"/>
      <c r="O186" s="480"/>
      <c r="P186" s="169"/>
      <c r="Q186" s="169"/>
      <c r="R186" s="169"/>
      <c r="S186" s="480"/>
      <c r="T186" s="169"/>
      <c r="U186" s="169"/>
      <c r="V186" s="480"/>
      <c r="W186" s="169"/>
      <c r="X186" s="169"/>
      <c r="Y186" s="169"/>
      <c r="Z186" s="480"/>
      <c r="AA186" s="169"/>
      <c r="AB186" s="480"/>
      <c r="AC186" s="480"/>
      <c r="AD186" s="480"/>
      <c r="AE186" s="480"/>
      <c r="AF186" s="480"/>
      <c r="AG186" s="480"/>
      <c r="AH186" s="4"/>
      <c r="AI186" s="4"/>
      <c r="AJ186" s="4"/>
      <c r="AK186" s="4"/>
      <c r="AL186" s="4"/>
    </row>
    <row r="187" spans="1:38" s="2" customFormat="1" ht="15" customHeight="1" x14ac:dyDescent="0.2">
      <c r="A187" s="740" t="s">
        <v>8</v>
      </c>
      <c r="B187" s="740"/>
      <c r="C187" s="740"/>
      <c r="D187" s="486"/>
      <c r="E187" s="487"/>
      <c r="F187" s="172">
        <v>985828.94000000006</v>
      </c>
      <c r="G187" s="172">
        <v>238825.8</v>
      </c>
      <c r="H187" s="172">
        <v>747003.14000000013</v>
      </c>
      <c r="I187" s="480"/>
      <c r="J187" s="172">
        <v>38696.89</v>
      </c>
      <c r="K187" s="172">
        <v>5445.72</v>
      </c>
      <c r="L187" s="480"/>
      <c r="M187" s="172">
        <v>3.69</v>
      </c>
      <c r="N187" s="172">
        <v>419</v>
      </c>
      <c r="O187" s="480"/>
      <c r="P187" s="172">
        <v>2024.5299999999997</v>
      </c>
      <c r="Q187" s="172">
        <v>854.53000000000009</v>
      </c>
      <c r="R187" s="172">
        <v>1170</v>
      </c>
      <c r="S187" s="480"/>
      <c r="T187" s="172">
        <v>3745.41</v>
      </c>
      <c r="U187" s="172">
        <v>1067.5</v>
      </c>
      <c r="V187" s="480"/>
      <c r="W187" s="172">
        <v>140604.69000000003</v>
      </c>
      <c r="X187" s="172">
        <v>13427.42</v>
      </c>
      <c r="Y187" s="172">
        <v>127177.26999999999</v>
      </c>
      <c r="Z187" s="480"/>
      <c r="AA187" s="172">
        <v>924728.61999999976</v>
      </c>
      <c r="AB187" s="480"/>
      <c r="AC187" s="172">
        <v>1128458.1600000001</v>
      </c>
      <c r="AD187" s="172">
        <v>253107.75</v>
      </c>
      <c r="AE187" s="172">
        <v>875350.41</v>
      </c>
      <c r="AF187" s="172">
        <v>42445.990000000005</v>
      </c>
      <c r="AG187" s="172">
        <v>6932.22</v>
      </c>
      <c r="AH187" s="4"/>
      <c r="AI187" s="4"/>
      <c r="AJ187" s="4"/>
      <c r="AK187" s="4"/>
      <c r="AL187" s="4"/>
    </row>
    <row r="188" spans="1:38" s="2" customFormat="1" ht="15" customHeight="1" x14ac:dyDescent="0.2">
      <c r="A188" s="740" t="s">
        <v>9</v>
      </c>
      <c r="B188" s="740"/>
      <c r="C188" s="740"/>
      <c r="D188" s="486"/>
      <c r="E188" s="487"/>
      <c r="F188" s="172">
        <v>344172.79999999999</v>
      </c>
      <c r="G188" s="172">
        <v>13542</v>
      </c>
      <c r="H188" s="172">
        <v>330630.80000000005</v>
      </c>
      <c r="I188" s="480"/>
      <c r="J188" s="172">
        <v>8503.15</v>
      </c>
      <c r="K188" s="172">
        <v>1103.05</v>
      </c>
      <c r="L188" s="480"/>
      <c r="M188" s="172">
        <v>150.11000000000001</v>
      </c>
      <c r="N188" s="172">
        <v>27.39</v>
      </c>
      <c r="O188" s="480"/>
      <c r="P188" s="172">
        <v>65531.18</v>
      </c>
      <c r="Q188" s="172">
        <v>5593.5200000000023</v>
      </c>
      <c r="R188" s="172">
        <v>59937.66</v>
      </c>
      <c r="S188" s="480"/>
      <c r="T188" s="172">
        <v>1</v>
      </c>
      <c r="U188" s="172">
        <v>3910</v>
      </c>
      <c r="V188" s="480"/>
      <c r="W188" s="172">
        <v>47762.479999999989</v>
      </c>
      <c r="X188" s="172">
        <v>7676.47</v>
      </c>
      <c r="Y188" s="172">
        <v>40086.01</v>
      </c>
      <c r="Z188" s="480"/>
      <c r="AA188" s="172">
        <v>444349.17</v>
      </c>
      <c r="AB188" s="480"/>
      <c r="AC188" s="172">
        <v>457466.46000000008</v>
      </c>
      <c r="AD188" s="172">
        <v>26811.99</v>
      </c>
      <c r="AE188" s="172">
        <v>430654.47</v>
      </c>
      <c r="AF188" s="172">
        <v>8654.26</v>
      </c>
      <c r="AG188" s="172">
        <v>5040.4400000000005</v>
      </c>
      <c r="AH188" s="144"/>
      <c r="AI188" s="144"/>
      <c r="AJ188" s="144"/>
      <c r="AK188" s="144"/>
      <c r="AL188" s="144"/>
    </row>
    <row r="189" spans="1:38" s="2" customFormat="1" ht="15" customHeight="1" x14ac:dyDescent="0.2">
      <c r="A189" s="740" t="s">
        <v>10</v>
      </c>
      <c r="B189" s="740"/>
      <c r="C189" s="740"/>
      <c r="D189" s="486"/>
      <c r="E189" s="487"/>
      <c r="F189" s="172">
        <v>145847.06</v>
      </c>
      <c r="G189" s="172">
        <v>1665.5899999999997</v>
      </c>
      <c r="H189" s="172">
        <v>144181.47</v>
      </c>
      <c r="I189" s="480"/>
      <c r="J189" s="172">
        <v>6009.25</v>
      </c>
      <c r="K189" s="172">
        <v>2029.46</v>
      </c>
      <c r="L189" s="480"/>
      <c r="M189" s="172">
        <v>137.28</v>
      </c>
      <c r="N189" s="172">
        <v>656.94</v>
      </c>
      <c r="O189" s="480"/>
      <c r="P189" s="172">
        <v>72488.37</v>
      </c>
      <c r="Q189" s="172">
        <v>14258.949999999999</v>
      </c>
      <c r="R189" s="172">
        <v>58229.42</v>
      </c>
      <c r="S189" s="480"/>
      <c r="T189" s="172">
        <v>0</v>
      </c>
      <c r="U189" s="172">
        <v>0</v>
      </c>
      <c r="V189" s="480"/>
      <c r="W189" s="172">
        <v>15001.390000000001</v>
      </c>
      <c r="X189" s="172">
        <v>706.40000000000009</v>
      </c>
      <c r="Y189" s="172">
        <v>14294.99</v>
      </c>
      <c r="Z189" s="480"/>
      <c r="AA189" s="172">
        <v>225538.80999999997</v>
      </c>
      <c r="AB189" s="480"/>
      <c r="AC189" s="172">
        <v>233336.81999999998</v>
      </c>
      <c r="AD189" s="172">
        <v>16630.939999999999</v>
      </c>
      <c r="AE189" s="172">
        <v>216705.88</v>
      </c>
      <c r="AF189" s="172">
        <v>6146.5300000000007</v>
      </c>
      <c r="AG189" s="172">
        <v>2686.4</v>
      </c>
      <c r="AH189" s="144"/>
      <c r="AI189" s="144"/>
      <c r="AJ189" s="144"/>
      <c r="AK189" s="144"/>
      <c r="AL189" s="144"/>
    </row>
    <row r="190" spans="1:38" s="2" customFormat="1" ht="15" customHeight="1" x14ac:dyDescent="0.2">
      <c r="A190" s="740" t="s">
        <v>11</v>
      </c>
      <c r="B190" s="740"/>
      <c r="C190" s="740"/>
      <c r="D190" s="486"/>
      <c r="E190" s="487"/>
      <c r="F190" s="172">
        <v>211313.19999999995</v>
      </c>
      <c r="G190" s="172">
        <v>115.8</v>
      </c>
      <c r="H190" s="172">
        <v>211197.39999999997</v>
      </c>
      <c r="I190" s="480"/>
      <c r="J190" s="172">
        <v>7382.95</v>
      </c>
      <c r="K190" s="172">
        <v>7634.14</v>
      </c>
      <c r="L190" s="480"/>
      <c r="M190" s="172">
        <v>887.54999999999984</v>
      </c>
      <c r="N190" s="172">
        <v>3508.29</v>
      </c>
      <c r="O190" s="480"/>
      <c r="P190" s="172">
        <v>88854.550000000017</v>
      </c>
      <c r="Q190" s="172">
        <v>4806.9299999999994</v>
      </c>
      <c r="R190" s="172">
        <v>84047.880000000019</v>
      </c>
      <c r="S190" s="480"/>
      <c r="T190" s="172">
        <v>0</v>
      </c>
      <c r="U190" s="172">
        <v>20.5</v>
      </c>
      <c r="V190" s="480"/>
      <c r="W190" s="172">
        <v>2882.23</v>
      </c>
      <c r="X190" s="172">
        <v>288.25</v>
      </c>
      <c r="Y190" s="172">
        <v>2593.9799999999996</v>
      </c>
      <c r="Z190" s="480"/>
      <c r="AA190" s="172">
        <v>317272.69</v>
      </c>
      <c r="AB190" s="480"/>
      <c r="AC190" s="172">
        <v>303049.97999999992</v>
      </c>
      <c r="AD190" s="172">
        <v>5210.9799999999996</v>
      </c>
      <c r="AE190" s="172">
        <v>297839.25999999989</v>
      </c>
      <c r="AF190" s="172">
        <v>8270.5000000000018</v>
      </c>
      <c r="AG190" s="172">
        <v>11162.929999999998</v>
      </c>
      <c r="AH190" s="144"/>
      <c r="AI190" s="144"/>
      <c r="AJ190" s="144"/>
      <c r="AK190" s="144"/>
      <c r="AL190" s="144"/>
    </row>
    <row r="191" spans="1:38" s="2" customFormat="1" ht="15" customHeight="1" x14ac:dyDescent="0.2">
      <c r="A191" s="467"/>
      <c r="B191" s="467"/>
      <c r="C191" s="467"/>
      <c r="D191" s="466"/>
      <c r="E191" s="446"/>
      <c r="F191" s="151"/>
      <c r="G191" s="151"/>
      <c r="H191" s="151"/>
      <c r="J191" s="151"/>
      <c r="K191" s="151"/>
      <c r="M191" s="151"/>
      <c r="N191" s="151"/>
      <c r="P191" s="151"/>
      <c r="Q191" s="151"/>
      <c r="R191" s="151"/>
      <c r="T191" s="151"/>
      <c r="U191" s="151"/>
      <c r="W191" s="151"/>
      <c r="X191" s="151"/>
      <c r="Y191" s="151"/>
      <c r="AA191" s="151"/>
      <c r="AC191" s="151"/>
      <c r="AD191" s="151"/>
      <c r="AE191" s="151"/>
      <c r="AF191" s="151"/>
      <c r="AG191" s="151"/>
      <c r="AH191" s="144"/>
      <c r="AI191" s="144"/>
      <c r="AJ191" s="144"/>
      <c r="AK191" s="144"/>
      <c r="AL191" s="144"/>
    </row>
    <row r="192" spans="1:38" x14ac:dyDescent="0.2">
      <c r="A192" s="741" t="s">
        <v>228</v>
      </c>
      <c r="B192" s="741"/>
      <c r="C192" s="741"/>
      <c r="D192" s="488"/>
      <c r="E192" s="204"/>
      <c r="F192" s="489"/>
      <c r="G192" s="179">
        <f>G193/F193</f>
        <v>0.15202289149254797</v>
      </c>
      <c r="H192" s="490"/>
      <c r="I192" s="204"/>
      <c r="J192" s="491"/>
      <c r="K192" s="492"/>
      <c r="L192" s="204"/>
      <c r="M192" s="489"/>
      <c r="N192" s="489"/>
      <c r="O192" s="204"/>
      <c r="P192" s="489"/>
      <c r="Q192" s="489"/>
      <c r="R192" s="489"/>
      <c r="S192" s="204"/>
      <c r="T192" s="489"/>
      <c r="U192" s="489"/>
      <c r="V192" s="204"/>
      <c r="W192" s="489"/>
      <c r="X192" s="489"/>
      <c r="Y192" s="490"/>
      <c r="Z192" s="204"/>
      <c r="AA192" s="204"/>
      <c r="AB192" s="204"/>
      <c r="AC192" s="204"/>
      <c r="AD192" s="204"/>
      <c r="AE192" s="204"/>
      <c r="AF192" s="204"/>
      <c r="AG192" s="204"/>
      <c r="AI192"/>
      <c r="AJ192"/>
      <c r="AK192"/>
    </row>
    <row r="193" spans="1:37" s="2" customFormat="1" ht="11.25" x14ac:dyDescent="0.2">
      <c r="A193" s="683" t="s">
        <v>7</v>
      </c>
      <c r="B193" s="684"/>
      <c r="C193" s="685"/>
      <c r="D193" s="488"/>
      <c r="E193" s="204"/>
      <c r="F193" s="205">
        <v>1707114.550000001</v>
      </c>
      <c r="G193" s="205">
        <v>259520.49000000002</v>
      </c>
      <c r="H193" s="205">
        <v>1447594.0600000005</v>
      </c>
      <c r="I193" s="204"/>
      <c r="J193" s="205">
        <v>57856.330000000024</v>
      </c>
      <c r="K193" s="205">
        <v>16989.580000000002</v>
      </c>
      <c r="L193" s="493"/>
      <c r="M193" s="205">
        <v>9364.8499999999985</v>
      </c>
      <c r="N193" s="205">
        <v>5019.1099999999997</v>
      </c>
      <c r="O193" s="493"/>
      <c r="P193" s="205">
        <v>234246.19999999998</v>
      </c>
      <c r="Q193" s="205">
        <v>4731.3499999999985</v>
      </c>
      <c r="R193" s="205">
        <v>229514.84999999998</v>
      </c>
      <c r="S193" s="493"/>
      <c r="T193" s="205">
        <v>155.88</v>
      </c>
      <c r="U193" s="205">
        <v>75.430000000000007</v>
      </c>
      <c r="V193" s="493"/>
      <c r="W193" s="205">
        <v>209717.83000000005</v>
      </c>
      <c r="X193" s="205">
        <v>31282.25</v>
      </c>
      <c r="Y193" s="205">
        <v>178435.58000000005</v>
      </c>
      <c r="Z193" s="493"/>
      <c r="AA193" s="205">
        <v>1945005.6699999997</v>
      </c>
      <c r="AB193" s="205"/>
      <c r="AC193" s="205">
        <v>2151078.5799999996</v>
      </c>
      <c r="AD193" s="205">
        <v>295534.08999999997</v>
      </c>
      <c r="AE193" s="205">
        <v>1855544.49</v>
      </c>
      <c r="AF193" s="205">
        <v>67377.060000000027</v>
      </c>
      <c r="AG193" s="205">
        <v>22084.120000000003</v>
      </c>
    </row>
    <row r="194" spans="1:37" s="2" customFormat="1" ht="15" customHeight="1" x14ac:dyDescent="0.2">
      <c r="A194" s="204"/>
      <c r="B194" s="204"/>
      <c r="C194" s="204"/>
      <c r="D194" s="488"/>
      <c r="E194" s="204"/>
      <c r="F194" s="179"/>
      <c r="G194" s="179"/>
      <c r="H194" s="179"/>
      <c r="I194" s="204"/>
      <c r="J194" s="179"/>
      <c r="K194" s="179"/>
      <c r="L194" s="204"/>
      <c r="M194" s="179"/>
      <c r="N194" s="179"/>
      <c r="O194" s="204"/>
      <c r="P194" s="179"/>
      <c r="Q194" s="179"/>
      <c r="R194" s="179"/>
      <c r="S194" s="204"/>
      <c r="T194" s="179"/>
      <c r="U194" s="179"/>
      <c r="V194" s="204"/>
      <c r="W194" s="179"/>
      <c r="X194" s="179"/>
      <c r="Y194" s="179"/>
      <c r="Z194" s="204"/>
      <c r="AA194" s="179"/>
      <c r="AB194" s="204"/>
      <c r="AC194" s="204"/>
      <c r="AD194" s="204"/>
      <c r="AE194" s="204"/>
      <c r="AF194" s="204"/>
      <c r="AG194" s="204"/>
    </row>
    <row r="195" spans="1:37" s="2" customFormat="1" ht="11.25" x14ac:dyDescent="0.2">
      <c r="A195" s="677" t="s">
        <v>8</v>
      </c>
      <c r="B195" s="677"/>
      <c r="C195" s="677"/>
      <c r="D195" s="494"/>
      <c r="E195" s="207"/>
      <c r="F195" s="182">
        <v>984680.18</v>
      </c>
      <c r="G195" s="182">
        <v>231973.97</v>
      </c>
      <c r="H195" s="182">
        <v>752706.21000000008</v>
      </c>
      <c r="I195" s="204"/>
      <c r="J195" s="182">
        <v>33087.550000000003</v>
      </c>
      <c r="K195" s="182">
        <v>6289.25</v>
      </c>
      <c r="L195" s="204"/>
      <c r="M195" s="182">
        <v>1327.27</v>
      </c>
      <c r="N195" s="182">
        <v>0</v>
      </c>
      <c r="O195" s="204"/>
      <c r="P195" s="182">
        <v>0</v>
      </c>
      <c r="Q195" s="182">
        <v>0</v>
      </c>
      <c r="R195" s="182">
        <v>0</v>
      </c>
      <c r="S195" s="204"/>
      <c r="T195" s="182">
        <v>37.65</v>
      </c>
      <c r="U195" s="182">
        <v>72.25</v>
      </c>
      <c r="V195" s="204"/>
      <c r="W195" s="182">
        <v>146666.54</v>
      </c>
      <c r="X195" s="182">
        <v>17827.59</v>
      </c>
      <c r="Y195" s="182">
        <v>128838.95000000001</v>
      </c>
      <c r="Z195" s="204"/>
      <c r="AA195" s="182">
        <v>922359.13</v>
      </c>
      <c r="AB195" s="204"/>
      <c r="AC195" s="182">
        <v>1131346.7200000002</v>
      </c>
      <c r="AD195" s="182">
        <v>249801.56</v>
      </c>
      <c r="AE195" s="182">
        <v>881545.15999999992</v>
      </c>
      <c r="AF195" s="182">
        <v>34452.470000000008</v>
      </c>
      <c r="AG195" s="182">
        <v>6361.5</v>
      </c>
    </row>
    <row r="196" spans="1:37" s="2" customFormat="1" ht="15" customHeight="1" x14ac:dyDescent="0.2">
      <c r="A196" s="677" t="s">
        <v>9</v>
      </c>
      <c r="B196" s="677"/>
      <c r="C196" s="677"/>
      <c r="D196" s="494"/>
      <c r="E196" s="207"/>
      <c r="F196" s="182">
        <v>353070.51999999996</v>
      </c>
      <c r="G196" s="182">
        <v>14243.56</v>
      </c>
      <c r="H196" s="182">
        <v>338826.95999999996</v>
      </c>
      <c r="I196" s="204"/>
      <c r="J196" s="182">
        <v>11954.68</v>
      </c>
      <c r="K196" s="182">
        <v>1099.9499999999998</v>
      </c>
      <c r="L196" s="204"/>
      <c r="M196" s="182">
        <v>2451.36</v>
      </c>
      <c r="N196" s="182">
        <v>0</v>
      </c>
      <c r="O196" s="204"/>
      <c r="P196" s="182">
        <v>63253.62</v>
      </c>
      <c r="Q196" s="182">
        <v>30.109999999999985</v>
      </c>
      <c r="R196" s="182">
        <v>63223.51</v>
      </c>
      <c r="S196" s="204"/>
      <c r="T196" s="182">
        <v>25</v>
      </c>
      <c r="U196" s="182">
        <v>0</v>
      </c>
      <c r="V196" s="204"/>
      <c r="W196" s="182">
        <v>44929.369999999995</v>
      </c>
      <c r="X196" s="182">
        <v>12720.8</v>
      </c>
      <c r="Y196" s="182">
        <v>32208.569999999996</v>
      </c>
      <c r="Z196" s="204"/>
      <c r="AA196" s="182">
        <v>449790.03</v>
      </c>
      <c r="AB196" s="204"/>
      <c r="AC196" s="182">
        <v>461253.51</v>
      </c>
      <c r="AD196" s="182">
        <v>26994.469999999998</v>
      </c>
      <c r="AE196" s="182">
        <v>434259.04</v>
      </c>
      <c r="AF196" s="182">
        <v>14431.04</v>
      </c>
      <c r="AG196" s="182">
        <v>1099.9499999999998</v>
      </c>
    </row>
    <row r="197" spans="1:37" s="2" customFormat="1" ht="15" customHeight="1" x14ac:dyDescent="0.2">
      <c r="A197" s="677" t="s">
        <v>10</v>
      </c>
      <c r="B197" s="677"/>
      <c r="C197" s="677"/>
      <c r="D197" s="494"/>
      <c r="E197" s="207"/>
      <c r="F197" s="182">
        <v>153121.4</v>
      </c>
      <c r="G197" s="182">
        <v>13302.96</v>
      </c>
      <c r="H197" s="182">
        <v>139818.44</v>
      </c>
      <c r="I197" s="204"/>
      <c r="J197" s="182">
        <v>5032.8500000000004</v>
      </c>
      <c r="K197" s="182">
        <v>1820.54</v>
      </c>
      <c r="L197" s="204"/>
      <c r="M197" s="182">
        <v>327.27</v>
      </c>
      <c r="N197" s="182">
        <v>4.42</v>
      </c>
      <c r="O197" s="204"/>
      <c r="P197" s="182">
        <v>58175.439999999988</v>
      </c>
      <c r="Q197" s="182">
        <v>1482.81</v>
      </c>
      <c r="R197" s="182">
        <v>56692.62999999999</v>
      </c>
      <c r="S197" s="204"/>
      <c r="T197" s="182">
        <v>0</v>
      </c>
      <c r="U197" s="182">
        <v>0</v>
      </c>
      <c r="V197" s="204"/>
      <c r="W197" s="182">
        <v>12108.74</v>
      </c>
      <c r="X197" s="182">
        <v>606.20000000000016</v>
      </c>
      <c r="Y197" s="182">
        <v>11502.539999999999</v>
      </c>
      <c r="Z197" s="204"/>
      <c r="AA197" s="182">
        <v>215198.69</v>
      </c>
      <c r="AB197" s="204"/>
      <c r="AC197" s="182">
        <v>223405.58000000002</v>
      </c>
      <c r="AD197" s="182">
        <v>15391.97</v>
      </c>
      <c r="AE197" s="182">
        <v>208013.61000000002</v>
      </c>
      <c r="AF197" s="182">
        <v>5360.12</v>
      </c>
      <c r="AG197" s="182">
        <v>1824.96</v>
      </c>
    </row>
    <row r="198" spans="1:37" s="2" customFormat="1" ht="15" customHeight="1" x14ac:dyDescent="0.2">
      <c r="A198" s="677" t="s">
        <v>11</v>
      </c>
      <c r="B198" s="677"/>
      <c r="C198" s="677"/>
      <c r="D198" s="494"/>
      <c r="E198" s="207"/>
      <c r="F198" s="182">
        <v>216242.44999999998</v>
      </c>
      <c r="G198" s="182">
        <v>0</v>
      </c>
      <c r="H198" s="182">
        <v>216242.44999999998</v>
      </c>
      <c r="I198" s="204"/>
      <c r="J198" s="182">
        <v>7781.2500000000018</v>
      </c>
      <c r="K198" s="182">
        <v>7779.84</v>
      </c>
      <c r="L198" s="204"/>
      <c r="M198" s="182">
        <v>5258.95</v>
      </c>
      <c r="N198" s="182">
        <v>5014.6899999999996</v>
      </c>
      <c r="O198" s="204"/>
      <c r="P198" s="182">
        <v>112817.14</v>
      </c>
      <c r="Q198" s="182">
        <v>3218.4299999999994</v>
      </c>
      <c r="R198" s="182">
        <v>109598.71</v>
      </c>
      <c r="S198" s="204"/>
      <c r="T198" s="182">
        <v>93.23</v>
      </c>
      <c r="U198" s="182">
        <v>3.18</v>
      </c>
      <c r="V198" s="204"/>
      <c r="W198" s="182">
        <v>6013.1799999999994</v>
      </c>
      <c r="X198" s="182">
        <v>127.65999999999998</v>
      </c>
      <c r="Y198" s="182">
        <v>5885.5199999999995</v>
      </c>
      <c r="Z198" s="204"/>
      <c r="AA198" s="182">
        <v>357657.81999999995</v>
      </c>
      <c r="AB198" s="204"/>
      <c r="AC198" s="182">
        <v>335072.77000000008</v>
      </c>
      <c r="AD198" s="182">
        <v>3346.0899999999992</v>
      </c>
      <c r="AE198" s="182">
        <v>331726.67999999993</v>
      </c>
      <c r="AF198" s="182">
        <v>13133.43</v>
      </c>
      <c r="AG198" s="182">
        <v>12797.71</v>
      </c>
    </row>
    <row r="199" spans="1:37" s="2" customFormat="1" ht="15" customHeight="1" x14ac:dyDescent="0.2">
      <c r="A199" s="467"/>
      <c r="B199" s="467"/>
      <c r="C199" s="467"/>
      <c r="D199" s="466"/>
      <c r="E199" s="446"/>
      <c r="F199" s="151"/>
      <c r="G199" s="151"/>
      <c r="H199" s="151"/>
      <c r="J199" s="151"/>
      <c r="K199" s="151"/>
      <c r="M199" s="151"/>
      <c r="N199" s="151"/>
      <c r="P199" s="151"/>
      <c r="Q199" s="151"/>
      <c r="R199" s="151"/>
      <c r="T199" s="151"/>
      <c r="U199" s="151"/>
      <c r="W199" s="151"/>
      <c r="X199" s="151"/>
      <c r="Y199" s="151"/>
      <c r="AA199" s="151"/>
      <c r="AC199" s="151"/>
      <c r="AD199" s="151"/>
      <c r="AE199" s="151"/>
      <c r="AF199" s="151"/>
      <c r="AG199" s="151"/>
    </row>
    <row r="200" spans="1:37" x14ac:dyDescent="0.2">
      <c r="Y200" s="495"/>
      <c r="AA200" s="496"/>
      <c r="AI200"/>
      <c r="AJ200"/>
      <c r="AK200"/>
    </row>
    <row r="201" spans="1:37" s="2" customFormat="1" ht="15" customHeight="1" x14ac:dyDescent="0.2">
      <c r="A201" s="730" t="s">
        <v>229</v>
      </c>
      <c r="B201" s="730"/>
      <c r="C201" s="730"/>
      <c r="D201" s="497"/>
      <c r="E201" s="6"/>
      <c r="F201" s="498"/>
      <c r="G201" s="498"/>
      <c r="H201" s="499"/>
      <c r="I201" s="6"/>
      <c r="J201" s="6"/>
      <c r="K201" s="6"/>
      <c r="L201" s="6"/>
      <c r="M201" s="498"/>
      <c r="N201" s="498"/>
      <c r="O201" s="6"/>
      <c r="P201" s="498"/>
      <c r="Q201" s="498"/>
      <c r="R201" s="498"/>
      <c r="S201" s="6"/>
      <c r="T201" s="498"/>
      <c r="U201" s="498"/>
      <c r="V201" s="6"/>
      <c r="W201" s="498"/>
      <c r="X201" s="498"/>
      <c r="Y201" s="498"/>
      <c r="Z201" s="6"/>
      <c r="AA201" s="6"/>
      <c r="AB201" s="6"/>
      <c r="AC201" s="6"/>
      <c r="AD201" s="6"/>
      <c r="AE201" s="6"/>
      <c r="AF201" s="6"/>
      <c r="AG201" s="6"/>
    </row>
    <row r="202" spans="1:37" s="2" customFormat="1" ht="11.25" x14ac:dyDescent="0.2">
      <c r="A202" s="731" t="s">
        <v>7</v>
      </c>
      <c r="B202" s="732"/>
      <c r="C202" s="733"/>
      <c r="D202" s="497"/>
      <c r="E202" s="6"/>
      <c r="F202" s="500">
        <v>1672940</v>
      </c>
      <c r="G202" s="500">
        <v>256069.37000000002</v>
      </c>
      <c r="H202" s="500">
        <v>1416870.6300000001</v>
      </c>
      <c r="I202" s="500">
        <v>0</v>
      </c>
      <c r="J202" s="500">
        <v>48910.810000000005</v>
      </c>
      <c r="K202" s="500">
        <v>21302.940195000003</v>
      </c>
      <c r="L202" s="501"/>
      <c r="M202" s="500">
        <v>4848.5300000000007</v>
      </c>
      <c r="N202" s="500">
        <v>6032.17</v>
      </c>
      <c r="O202" s="501"/>
      <c r="P202" s="500">
        <v>257836.81999999998</v>
      </c>
      <c r="Q202" s="500">
        <v>10337.640000000001</v>
      </c>
      <c r="R202" s="500">
        <v>247499.18</v>
      </c>
      <c r="S202" s="501"/>
      <c r="T202" s="500">
        <v>476.96</v>
      </c>
      <c r="U202" s="500">
        <v>97.22999999999999</v>
      </c>
      <c r="V202" s="501"/>
      <c r="W202" s="500">
        <v>196426.46</v>
      </c>
      <c r="X202" s="500">
        <v>24499.623</v>
      </c>
      <c r="Y202" s="500">
        <v>171926.83700000009</v>
      </c>
      <c r="Z202" s="501"/>
      <c r="AA202" s="500">
        <v>1917965.2871949996</v>
      </c>
      <c r="AB202" s="500"/>
      <c r="AC202" s="500">
        <v>2127203.2800000003</v>
      </c>
      <c r="AD202" s="500">
        <v>290906.63299999991</v>
      </c>
      <c r="AE202" s="500">
        <v>1836296.6470000006</v>
      </c>
      <c r="AF202" s="500">
        <v>54236.3</v>
      </c>
      <c r="AG202" s="500">
        <v>27432.34019499999</v>
      </c>
    </row>
    <row r="203" spans="1:37" s="2" customFormat="1" ht="15" customHeight="1" x14ac:dyDescent="0.2">
      <c r="A203" s="6"/>
      <c r="B203" s="6"/>
      <c r="C203" s="6"/>
      <c r="D203" s="497"/>
      <c r="E203" s="6"/>
      <c r="F203" s="259"/>
      <c r="G203" s="259"/>
      <c r="H203" s="259"/>
      <c r="I203" s="6"/>
      <c r="J203" s="259"/>
      <c r="K203" s="259"/>
      <c r="L203" s="6"/>
      <c r="M203" s="259"/>
      <c r="N203" s="259"/>
      <c r="O203" s="6"/>
      <c r="P203" s="259"/>
      <c r="Q203" s="259"/>
      <c r="R203" s="259"/>
      <c r="S203" s="6"/>
      <c r="T203" s="259"/>
      <c r="U203" s="259"/>
      <c r="V203" s="6"/>
      <c r="W203" s="259"/>
      <c r="X203" s="259"/>
      <c r="Y203" s="259"/>
      <c r="Z203" s="6"/>
      <c r="AA203" s="259"/>
      <c r="AB203" s="6"/>
      <c r="AC203" s="6"/>
      <c r="AD203" s="6"/>
      <c r="AE203" s="6"/>
      <c r="AF203" s="6"/>
      <c r="AG203" s="6"/>
    </row>
    <row r="204" spans="1:37" s="2" customFormat="1" ht="15" customHeight="1" x14ac:dyDescent="0.2">
      <c r="A204" s="734" t="s">
        <v>8</v>
      </c>
      <c r="B204" s="734"/>
      <c r="C204" s="734"/>
      <c r="D204" s="502"/>
      <c r="E204" s="503"/>
      <c r="F204" s="195">
        <v>954985</v>
      </c>
      <c r="G204" s="195">
        <v>224687.05</v>
      </c>
      <c r="H204" s="195">
        <v>730297.95</v>
      </c>
      <c r="I204" s="6"/>
      <c r="J204" s="195">
        <v>28281.689999999991</v>
      </c>
      <c r="K204" s="195">
        <v>15371.516599999999</v>
      </c>
      <c r="L204" s="6"/>
      <c r="M204" s="195">
        <v>10.63</v>
      </c>
      <c r="N204" s="195">
        <v>0</v>
      </c>
      <c r="O204" s="6"/>
      <c r="P204" s="195">
        <v>1405.26</v>
      </c>
      <c r="Q204" s="195">
        <v>75</v>
      </c>
      <c r="R204" s="195">
        <v>1330.26</v>
      </c>
      <c r="S204" s="6"/>
      <c r="T204" s="195">
        <v>455.71</v>
      </c>
      <c r="U204" s="195">
        <v>90</v>
      </c>
      <c r="V204" s="6"/>
      <c r="W204" s="195">
        <v>135816.66999999998</v>
      </c>
      <c r="X204" s="195">
        <v>14443.043000000003</v>
      </c>
      <c r="Y204" s="195">
        <v>121373.62699999999</v>
      </c>
      <c r="Z204" s="6"/>
      <c r="AA204" s="195">
        <v>897211.38359999983</v>
      </c>
      <c r="AB204" s="6"/>
      <c r="AC204" s="195">
        <v>1092206.9299999997</v>
      </c>
      <c r="AD204" s="195">
        <v>239205.09300000002</v>
      </c>
      <c r="AE204" s="195">
        <v>853001.83699999994</v>
      </c>
      <c r="AF204" s="195">
        <v>28748.029999999995</v>
      </c>
      <c r="AG204" s="195">
        <v>15461.516599999999</v>
      </c>
    </row>
    <row r="205" spans="1:37" s="2" customFormat="1" ht="15" customHeight="1" x14ac:dyDescent="0.2">
      <c r="A205" s="734" t="s">
        <v>9</v>
      </c>
      <c r="B205" s="734"/>
      <c r="C205" s="734"/>
      <c r="D205" s="502"/>
      <c r="E205" s="503"/>
      <c r="F205" s="195">
        <v>345397</v>
      </c>
      <c r="G205" s="195">
        <v>16144</v>
      </c>
      <c r="H205" s="195">
        <v>329253</v>
      </c>
      <c r="I205" s="6"/>
      <c r="J205" s="195">
        <v>8030.7800000000007</v>
      </c>
      <c r="K205" s="195">
        <v>1489.1096000000002</v>
      </c>
      <c r="L205" s="6"/>
      <c r="M205" s="195">
        <v>53.96</v>
      </c>
      <c r="N205" s="195">
        <v>2292</v>
      </c>
      <c r="O205" s="6"/>
      <c r="P205" s="195">
        <v>74202.69</v>
      </c>
      <c r="Q205" s="195">
        <v>1767.45</v>
      </c>
      <c r="R205" s="195">
        <v>72435.240000000005</v>
      </c>
      <c r="S205" s="6"/>
      <c r="T205" s="195">
        <v>0.85000000000000042</v>
      </c>
      <c r="U205" s="195">
        <v>0</v>
      </c>
      <c r="V205" s="6"/>
      <c r="W205" s="195">
        <v>39692.5</v>
      </c>
      <c r="X205" s="195">
        <v>4513.8600000000006</v>
      </c>
      <c r="Y205" s="195">
        <v>35178.639999999999</v>
      </c>
      <c r="Z205" s="6"/>
      <c r="AA205" s="195">
        <v>448733.57959999994</v>
      </c>
      <c r="AB205" s="6"/>
      <c r="AC205" s="195">
        <v>459292.18999999994</v>
      </c>
      <c r="AD205" s="195">
        <v>22425.309999999998</v>
      </c>
      <c r="AE205" s="195">
        <v>436866.88</v>
      </c>
      <c r="AF205" s="195">
        <v>8085.59</v>
      </c>
      <c r="AG205" s="195">
        <v>3781.1095999999998</v>
      </c>
    </row>
    <row r="206" spans="1:37" s="2" customFormat="1" ht="15" customHeight="1" x14ac:dyDescent="0.2">
      <c r="A206" s="734" t="s">
        <v>10</v>
      </c>
      <c r="B206" s="734"/>
      <c r="C206" s="734"/>
      <c r="D206" s="502"/>
      <c r="E206" s="503"/>
      <c r="F206" s="195">
        <v>152742</v>
      </c>
      <c r="G206" s="195">
        <v>15238.32</v>
      </c>
      <c r="H206" s="195">
        <v>137503.67999999999</v>
      </c>
      <c r="I206" s="6"/>
      <c r="J206" s="195">
        <v>4232.2699999999995</v>
      </c>
      <c r="K206" s="195">
        <v>2988.8695879999996</v>
      </c>
      <c r="L206" s="6"/>
      <c r="M206" s="195">
        <v>2333.4599999999996</v>
      </c>
      <c r="N206" s="195">
        <v>1202.31</v>
      </c>
      <c r="O206" s="6"/>
      <c r="P206" s="195">
        <v>52942.140000000007</v>
      </c>
      <c r="Q206" s="195">
        <v>7119.1900000000005</v>
      </c>
      <c r="R206" s="195">
        <v>45822.950000000004</v>
      </c>
      <c r="S206" s="6"/>
      <c r="T206" s="195">
        <v>0</v>
      </c>
      <c r="U206" s="195">
        <v>0</v>
      </c>
      <c r="V206" s="6"/>
      <c r="W206" s="195">
        <v>13154.72</v>
      </c>
      <c r="X206" s="195">
        <v>655.34</v>
      </c>
      <c r="Y206" s="195">
        <v>12499.380000000001</v>
      </c>
      <c r="Z206" s="6"/>
      <c r="AA206" s="195">
        <v>206582.91958800002</v>
      </c>
      <c r="AB206" s="6"/>
      <c r="AC206" s="195">
        <v>218838.86</v>
      </c>
      <c r="AD206" s="195">
        <v>23012.85</v>
      </c>
      <c r="AE206" s="195">
        <v>195826.01</v>
      </c>
      <c r="AF206" s="195">
        <v>6565.73</v>
      </c>
      <c r="AG206" s="195">
        <v>4191.179588</v>
      </c>
    </row>
    <row r="207" spans="1:37" x14ac:dyDescent="0.2">
      <c r="A207" s="734" t="s">
        <v>11</v>
      </c>
      <c r="B207" s="734"/>
      <c r="C207" s="734"/>
      <c r="D207" s="502"/>
      <c r="E207" s="503"/>
      <c r="F207" s="195">
        <v>219816</v>
      </c>
      <c r="G207" s="195">
        <v>0</v>
      </c>
      <c r="H207" s="195">
        <v>219816</v>
      </c>
      <c r="I207" s="6"/>
      <c r="J207" s="195">
        <v>8366.07</v>
      </c>
      <c r="K207" s="195">
        <v>1453.4444069999997</v>
      </c>
      <c r="L207" s="6"/>
      <c r="M207" s="195">
        <v>2450.4800000000005</v>
      </c>
      <c r="N207" s="195">
        <v>2537.86</v>
      </c>
      <c r="O207" s="6"/>
      <c r="P207" s="195">
        <v>129286.73000000003</v>
      </c>
      <c r="Q207" s="195">
        <v>1376</v>
      </c>
      <c r="R207" s="195">
        <v>127910.73000000003</v>
      </c>
      <c r="S207" s="6"/>
      <c r="T207" s="195">
        <v>20.399999999999999</v>
      </c>
      <c r="U207" s="195">
        <v>7.23</v>
      </c>
      <c r="V207" s="6"/>
      <c r="W207" s="195">
        <v>7762.5700000000006</v>
      </c>
      <c r="X207" s="195">
        <v>4887.38</v>
      </c>
      <c r="Y207" s="195">
        <v>2875.19</v>
      </c>
      <c r="Z207" s="6"/>
      <c r="AA207" s="195">
        <v>365437.40440699999</v>
      </c>
      <c r="AB207" s="6"/>
      <c r="AC207" s="195">
        <v>356865.30000000005</v>
      </c>
      <c r="AD207" s="195">
        <v>6263.38</v>
      </c>
      <c r="AE207" s="195">
        <v>350601.92000000004</v>
      </c>
      <c r="AF207" s="195">
        <v>10836.949999999997</v>
      </c>
      <c r="AG207" s="195">
        <v>3998.5344069999996</v>
      </c>
      <c r="AI207"/>
      <c r="AJ207"/>
      <c r="AK207"/>
    </row>
    <row r="208" spans="1:37" x14ac:dyDescent="0.2">
      <c r="AI208"/>
      <c r="AJ208"/>
      <c r="AK208"/>
    </row>
    <row r="209" spans="1:37" x14ac:dyDescent="0.2">
      <c r="A209" s="679" t="s">
        <v>7</v>
      </c>
      <c r="B209" s="680"/>
      <c r="C209" s="681"/>
      <c r="D209" s="450"/>
      <c r="E209" s="2"/>
      <c r="F209" s="504">
        <v>1663175.49</v>
      </c>
      <c r="G209" s="504">
        <v>249215</v>
      </c>
      <c r="H209" s="504">
        <v>1413960.49</v>
      </c>
      <c r="I209" s="504">
        <v>0</v>
      </c>
      <c r="J209" s="504">
        <v>49410.109999999986</v>
      </c>
      <c r="K209" s="504">
        <v>20534.441699999999</v>
      </c>
      <c r="L209" s="505"/>
      <c r="M209" s="504">
        <v>1565.6048000000001</v>
      </c>
      <c r="N209" s="504">
        <v>4230.08</v>
      </c>
      <c r="O209" s="506"/>
      <c r="P209" s="506"/>
      <c r="Q209" s="506"/>
      <c r="R209" s="504">
        <v>234103.12</v>
      </c>
      <c r="S209" s="505"/>
      <c r="T209" s="504">
        <v>562.12</v>
      </c>
      <c r="U209" s="504">
        <v>51.04</v>
      </c>
      <c r="V209" s="506"/>
      <c r="W209" s="506"/>
      <c r="X209" s="506"/>
      <c r="Y209" s="504">
        <v>156077.06</v>
      </c>
      <c r="Z209" s="505"/>
      <c r="AA209" s="504">
        <v>1880494.0664999997</v>
      </c>
      <c r="AB209" s="2"/>
      <c r="AC209" s="4"/>
      <c r="AD209" s="2"/>
      <c r="AE209" s="2"/>
      <c r="AF209" s="2"/>
      <c r="AG209" s="2"/>
      <c r="AI209"/>
      <c r="AJ209"/>
      <c r="AK209"/>
    </row>
    <row r="210" spans="1:37" x14ac:dyDescent="0.2">
      <c r="A210" s="197"/>
      <c r="B210" s="507" t="s">
        <v>230</v>
      </c>
      <c r="C210" s="197"/>
      <c r="D210" s="450"/>
      <c r="E210" s="2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2"/>
      <c r="AC210" s="2"/>
      <c r="AD210" s="2"/>
      <c r="AE210" s="2"/>
      <c r="AF210" s="2"/>
      <c r="AG210" s="2"/>
      <c r="AI210"/>
      <c r="AJ210"/>
      <c r="AK210"/>
    </row>
    <row r="211" spans="1:37" x14ac:dyDescent="0.2">
      <c r="A211" s="682" t="s">
        <v>8</v>
      </c>
      <c r="B211" s="682"/>
      <c r="C211" s="682"/>
      <c r="D211" s="466"/>
      <c r="E211" s="446"/>
      <c r="F211" s="202">
        <v>931416</v>
      </c>
      <c r="G211" s="202">
        <v>217432</v>
      </c>
      <c r="H211" s="202">
        <v>713984</v>
      </c>
      <c r="I211" s="506"/>
      <c r="J211" s="202">
        <v>27615.420000000002</v>
      </c>
      <c r="K211" s="202">
        <v>14195.404500000002</v>
      </c>
      <c r="L211" s="506"/>
      <c r="M211" s="202">
        <v>6.76</v>
      </c>
      <c r="N211" s="202">
        <v>0</v>
      </c>
      <c r="O211" s="506"/>
      <c r="P211" s="506"/>
      <c r="Q211" s="506"/>
      <c r="R211" s="202">
        <v>5092.6499999999996</v>
      </c>
      <c r="S211" s="506"/>
      <c r="T211" s="202">
        <v>148.6</v>
      </c>
      <c r="U211" s="202">
        <v>40</v>
      </c>
      <c r="V211" s="506"/>
      <c r="W211" s="506"/>
      <c r="X211" s="506"/>
      <c r="Y211" s="202">
        <v>110151.77000000002</v>
      </c>
      <c r="Z211" s="506"/>
      <c r="AA211" s="202">
        <v>871234.6044999999</v>
      </c>
      <c r="AB211" s="2"/>
      <c r="AC211" s="2"/>
      <c r="AD211" s="2"/>
      <c r="AE211" s="2"/>
      <c r="AF211" s="2"/>
      <c r="AG211" s="2"/>
      <c r="AI211"/>
      <c r="AJ211"/>
      <c r="AK211"/>
    </row>
    <row r="212" spans="1:37" x14ac:dyDescent="0.2">
      <c r="A212" s="682" t="s">
        <v>9</v>
      </c>
      <c r="B212" s="682"/>
      <c r="C212" s="682"/>
      <c r="D212" s="466"/>
      <c r="E212" s="446"/>
      <c r="F212" s="202">
        <v>338443</v>
      </c>
      <c r="G212" s="202">
        <v>17400</v>
      </c>
      <c r="H212" s="202">
        <v>321043</v>
      </c>
      <c r="I212" s="506"/>
      <c r="J212" s="202">
        <v>8480.619999999999</v>
      </c>
      <c r="K212" s="202">
        <v>1094.6100000000001</v>
      </c>
      <c r="L212" s="506"/>
      <c r="M212" s="202">
        <v>112.06</v>
      </c>
      <c r="N212" s="202">
        <v>0</v>
      </c>
      <c r="O212" s="506"/>
      <c r="P212" s="506"/>
      <c r="Q212" s="506"/>
      <c r="R212" s="202">
        <v>40373.649999999994</v>
      </c>
      <c r="S212" s="506"/>
      <c r="T212" s="202">
        <v>4.5199999999999996</v>
      </c>
      <c r="U212" s="202">
        <v>0</v>
      </c>
      <c r="V212" s="506"/>
      <c r="W212" s="506"/>
      <c r="X212" s="506"/>
      <c r="Y212" s="202">
        <v>37986.879999999997</v>
      </c>
      <c r="Z212" s="506"/>
      <c r="AA212" s="202">
        <v>409095.33999999991</v>
      </c>
      <c r="AB212" s="2"/>
      <c r="AC212" s="2"/>
      <c r="AD212" s="2"/>
      <c r="AE212" s="2"/>
      <c r="AF212" s="2"/>
      <c r="AG212" s="2"/>
      <c r="AI212"/>
      <c r="AJ212"/>
      <c r="AK212"/>
    </row>
    <row r="213" spans="1:37" x14ac:dyDescent="0.2">
      <c r="A213" s="682" t="s">
        <v>10</v>
      </c>
      <c r="B213" s="682"/>
      <c r="C213" s="682"/>
      <c r="D213" s="466"/>
      <c r="E213" s="446"/>
      <c r="F213" s="202">
        <v>156710</v>
      </c>
      <c r="G213" s="202">
        <v>14383</v>
      </c>
      <c r="H213" s="202">
        <v>142327</v>
      </c>
      <c r="I213" s="506"/>
      <c r="J213" s="202">
        <v>5299.4299999999994</v>
      </c>
      <c r="K213" s="202">
        <v>2417.7972</v>
      </c>
      <c r="L213" s="506"/>
      <c r="M213" s="202">
        <v>119.53999999999999</v>
      </c>
      <c r="N213" s="202">
        <v>1288.3400000000001</v>
      </c>
      <c r="O213" s="506"/>
      <c r="P213" s="506"/>
      <c r="Q213" s="506"/>
      <c r="R213" s="202">
        <v>65635.37</v>
      </c>
      <c r="S213" s="506"/>
      <c r="T213" s="202">
        <v>340</v>
      </c>
      <c r="U213" s="202">
        <v>0</v>
      </c>
      <c r="V213" s="506"/>
      <c r="W213" s="506"/>
      <c r="X213" s="506"/>
      <c r="Y213" s="202">
        <v>5080.62</v>
      </c>
      <c r="Z213" s="506"/>
      <c r="AA213" s="202">
        <v>222508.09719999996</v>
      </c>
      <c r="AB213" s="2"/>
      <c r="AC213" s="2"/>
      <c r="AD213" s="2"/>
      <c r="AE213" s="2"/>
      <c r="AF213" s="2"/>
      <c r="AG213" s="2"/>
      <c r="AI213"/>
      <c r="AJ213"/>
      <c r="AK213"/>
    </row>
    <row r="214" spans="1:37" x14ac:dyDescent="0.2">
      <c r="A214" s="682" t="s">
        <v>11</v>
      </c>
      <c r="B214" s="682"/>
      <c r="C214" s="682"/>
      <c r="D214" s="466"/>
      <c r="E214" s="446"/>
      <c r="F214" s="202">
        <v>236606.49</v>
      </c>
      <c r="G214" s="202">
        <v>0</v>
      </c>
      <c r="H214" s="202">
        <v>236606.49</v>
      </c>
      <c r="I214" s="506"/>
      <c r="J214" s="202">
        <v>8014.6399999999985</v>
      </c>
      <c r="K214" s="202">
        <v>2826.63</v>
      </c>
      <c r="L214" s="506"/>
      <c r="M214" s="202">
        <v>1327.2448000000002</v>
      </c>
      <c r="N214" s="202">
        <v>2941.74</v>
      </c>
      <c r="O214" s="506"/>
      <c r="P214" s="506"/>
      <c r="Q214" s="506"/>
      <c r="R214" s="202">
        <v>123001.45000000001</v>
      </c>
      <c r="S214" s="506"/>
      <c r="T214" s="202">
        <v>69</v>
      </c>
      <c r="U214" s="202">
        <v>11.04</v>
      </c>
      <c r="V214" s="506"/>
      <c r="W214" s="506"/>
      <c r="X214" s="506"/>
      <c r="Y214" s="202">
        <v>2857.7900000000004</v>
      </c>
      <c r="Z214" s="506"/>
      <c r="AA214" s="202">
        <v>377656.02479999996</v>
      </c>
      <c r="AB214" s="2"/>
      <c r="AC214" s="2"/>
      <c r="AD214" s="2"/>
      <c r="AE214" s="2"/>
      <c r="AF214" s="2"/>
      <c r="AG214" s="2"/>
      <c r="AI214"/>
      <c r="AJ214"/>
      <c r="AK214"/>
    </row>
    <row r="215" spans="1:37" x14ac:dyDescent="0.2">
      <c r="AI215"/>
      <c r="AJ215"/>
      <c r="AK215"/>
    </row>
    <row r="216" spans="1:37" x14ac:dyDescent="0.2">
      <c r="A216" s="683" t="s">
        <v>7</v>
      </c>
      <c r="B216" s="684"/>
      <c r="C216" s="685"/>
      <c r="D216" s="450"/>
      <c r="E216" s="2"/>
      <c r="F216" s="205">
        <v>1634173</v>
      </c>
      <c r="G216" s="205">
        <v>236212.06</v>
      </c>
      <c r="H216" s="205">
        <v>1397960.9399999997</v>
      </c>
      <c r="I216" s="493"/>
      <c r="J216" s="205">
        <v>52696.463388557982</v>
      </c>
      <c r="K216" s="205">
        <v>15837.071549456672</v>
      </c>
      <c r="L216" s="493"/>
      <c r="M216" s="205">
        <v>4875.1100000000006</v>
      </c>
      <c r="N216" s="205">
        <v>14505.73</v>
      </c>
      <c r="O216" s="508"/>
      <c r="P216" s="509"/>
      <c r="Q216" s="509"/>
      <c r="R216" s="205">
        <v>214055.74999999997</v>
      </c>
      <c r="S216" s="493"/>
      <c r="T216" s="205">
        <v>261.70000000000005</v>
      </c>
      <c r="U216" s="205">
        <v>4883.13</v>
      </c>
      <c r="V216" s="508"/>
      <c r="W216" s="508"/>
      <c r="X216" s="508"/>
      <c r="Y216" s="205">
        <v>152558.62999999995</v>
      </c>
      <c r="Z216" s="493"/>
      <c r="AA216" s="205">
        <v>1857634.5249380141</v>
      </c>
      <c r="AI216"/>
      <c r="AJ216"/>
      <c r="AK216"/>
    </row>
    <row r="217" spans="1:37" x14ac:dyDescent="0.2">
      <c r="A217" s="204"/>
      <c r="B217" s="510" t="s">
        <v>231</v>
      </c>
      <c r="C217" s="204"/>
      <c r="D217" s="450"/>
      <c r="E217" s="2"/>
      <c r="F217"/>
      <c r="G217"/>
      <c r="H217"/>
      <c r="M217"/>
      <c r="N217"/>
      <c r="P217"/>
      <c r="Q217"/>
      <c r="R217"/>
      <c r="AI217"/>
      <c r="AJ217"/>
      <c r="AK217"/>
    </row>
    <row r="218" spans="1:37" x14ac:dyDescent="0.2">
      <c r="A218" s="677" t="s">
        <v>8</v>
      </c>
      <c r="B218" s="677"/>
      <c r="C218" s="677"/>
      <c r="D218" s="466"/>
      <c r="E218" s="446"/>
      <c r="F218" s="182">
        <v>908411</v>
      </c>
      <c r="G218" s="182">
        <v>207644.21999999997</v>
      </c>
      <c r="H218" s="182">
        <v>700766.78</v>
      </c>
      <c r="I218" s="204"/>
      <c r="J218" s="182">
        <v>29173.361163017969</v>
      </c>
      <c r="K218" s="182">
        <v>9690.5876320757288</v>
      </c>
      <c r="L218" s="204"/>
      <c r="M218" s="182">
        <v>200.34</v>
      </c>
      <c r="N218" s="182">
        <v>0</v>
      </c>
      <c r="O218" s="508"/>
      <c r="P218" s="509"/>
      <c r="Q218" s="509"/>
      <c r="R218" s="182">
        <v>866</v>
      </c>
      <c r="S218" s="204"/>
      <c r="T218" s="182">
        <v>154.9</v>
      </c>
      <c r="U218" s="182">
        <v>0</v>
      </c>
      <c r="V218" s="508"/>
      <c r="W218" s="508"/>
      <c r="X218" s="508"/>
      <c r="Y218" s="182">
        <v>106489.43</v>
      </c>
      <c r="Z218" s="204"/>
      <c r="AA218" s="182">
        <v>847341.39879509364</v>
      </c>
    </row>
    <row r="219" spans="1:37" x14ac:dyDescent="0.2">
      <c r="A219" s="677" t="s">
        <v>9</v>
      </c>
      <c r="B219" s="677"/>
      <c r="C219" s="677"/>
      <c r="D219" s="466"/>
      <c r="E219" s="446"/>
      <c r="F219" s="182">
        <v>343939</v>
      </c>
      <c r="G219" s="182">
        <v>16533</v>
      </c>
      <c r="H219" s="182">
        <v>327406</v>
      </c>
      <c r="I219" s="204"/>
      <c r="J219" s="182">
        <v>8531.2000000000007</v>
      </c>
      <c r="K219" s="182">
        <v>893.14213390212626</v>
      </c>
      <c r="L219" s="204"/>
      <c r="M219" s="182">
        <v>125.30000000000001</v>
      </c>
      <c r="N219" s="182">
        <v>4605</v>
      </c>
      <c r="O219" s="508"/>
      <c r="P219" s="509"/>
      <c r="Q219" s="509"/>
      <c r="R219" s="182">
        <v>58539.82</v>
      </c>
      <c r="S219" s="204"/>
      <c r="T219" s="182">
        <v>12.75</v>
      </c>
      <c r="U219" s="182">
        <v>0</v>
      </c>
      <c r="V219" s="508"/>
      <c r="W219" s="508"/>
      <c r="X219" s="508"/>
      <c r="Y219" s="182">
        <v>29601.11</v>
      </c>
      <c r="Z219" s="204"/>
      <c r="AA219" s="182">
        <v>429714.32213390217</v>
      </c>
    </row>
    <row r="220" spans="1:37" x14ac:dyDescent="0.2">
      <c r="A220" s="677" t="s">
        <v>10</v>
      </c>
      <c r="B220" s="677"/>
      <c r="C220" s="677"/>
      <c r="D220" s="466"/>
      <c r="E220" s="446"/>
      <c r="F220" s="182">
        <v>152693</v>
      </c>
      <c r="G220" s="182">
        <v>12034.84</v>
      </c>
      <c r="H220" s="182">
        <v>140658.15999999997</v>
      </c>
      <c r="I220" s="204"/>
      <c r="J220" s="182">
        <v>5528.6535935571228</v>
      </c>
      <c r="K220" s="182">
        <v>2554.8004232045778</v>
      </c>
      <c r="L220" s="204"/>
      <c r="M220" s="182">
        <v>687.03</v>
      </c>
      <c r="N220" s="182">
        <v>1139.8800000000001</v>
      </c>
      <c r="O220" s="508"/>
      <c r="P220" s="509"/>
      <c r="Q220" s="509"/>
      <c r="R220" s="182">
        <v>55420.409999999996</v>
      </c>
      <c r="S220" s="204"/>
      <c r="T220" s="182">
        <v>8.0299999999999994</v>
      </c>
      <c r="U220" s="182">
        <v>0</v>
      </c>
      <c r="V220" s="508"/>
      <c r="W220" s="508"/>
      <c r="X220" s="508"/>
      <c r="Y220" s="182">
        <v>8999.0300000000007</v>
      </c>
      <c r="Z220" s="204"/>
      <c r="AA220" s="182">
        <v>214995.99401676172</v>
      </c>
    </row>
    <row r="221" spans="1:37" x14ac:dyDescent="0.2">
      <c r="A221" s="677" t="s">
        <v>11</v>
      </c>
      <c r="B221" s="677"/>
      <c r="C221" s="677"/>
      <c r="D221" s="466"/>
      <c r="E221" s="446"/>
      <c r="F221" s="182">
        <v>229130</v>
      </c>
      <c r="G221" s="182">
        <v>0</v>
      </c>
      <c r="H221" s="182">
        <v>229130</v>
      </c>
      <c r="I221" s="204"/>
      <c r="J221" s="182">
        <v>9463.2486319828713</v>
      </c>
      <c r="K221" s="182">
        <v>2698.5413602742387</v>
      </c>
      <c r="L221" s="204"/>
      <c r="M221" s="182">
        <v>3862.44</v>
      </c>
      <c r="N221" s="182">
        <v>8760.85</v>
      </c>
      <c r="O221" s="508"/>
      <c r="P221" s="509"/>
      <c r="Q221" s="509"/>
      <c r="R221" s="182">
        <v>99229.51999999999</v>
      </c>
      <c r="S221" s="204"/>
      <c r="T221" s="182">
        <v>86.02</v>
      </c>
      <c r="U221" s="182">
        <v>4883.13</v>
      </c>
      <c r="V221" s="508"/>
      <c r="W221" s="508"/>
      <c r="X221" s="508"/>
      <c r="Y221" s="182">
        <v>7469.06</v>
      </c>
      <c r="Z221" s="204"/>
      <c r="AA221" s="182">
        <v>365582.80999225716</v>
      </c>
    </row>
  </sheetData>
  <mergeCells count="70">
    <mergeCell ref="A157:C157"/>
    <mergeCell ref="A1:AG1"/>
    <mergeCell ref="F3:H3"/>
    <mergeCell ref="J3:K3"/>
    <mergeCell ref="M3:R3"/>
    <mergeCell ref="T3:Y3"/>
    <mergeCell ref="AA3:AA4"/>
    <mergeCell ref="AC3:AE3"/>
    <mergeCell ref="A143:C143"/>
    <mergeCell ref="A145:C145"/>
    <mergeCell ref="A146:C146"/>
    <mergeCell ref="A147:C147"/>
    <mergeCell ref="A148:C148"/>
    <mergeCell ref="A165:C165"/>
    <mergeCell ref="AI3:AK3"/>
    <mergeCell ref="A142:C142"/>
    <mergeCell ref="A135:C135"/>
    <mergeCell ref="A138:C138"/>
    <mergeCell ref="A139:C139"/>
    <mergeCell ref="A140:C140"/>
    <mergeCell ref="A160:C160"/>
    <mergeCell ref="A161:C161"/>
    <mergeCell ref="A163:C163"/>
    <mergeCell ref="A164:C164"/>
    <mergeCell ref="A151:C151"/>
    <mergeCell ref="A152:C152"/>
    <mergeCell ref="A154:C154"/>
    <mergeCell ref="A155:C155"/>
    <mergeCell ref="A156:C156"/>
    <mergeCell ref="A181:C181"/>
    <mergeCell ref="A166:C166"/>
    <mergeCell ref="A168:C168"/>
    <mergeCell ref="A169:C169"/>
    <mergeCell ref="A171:C171"/>
    <mergeCell ref="A172:C172"/>
    <mergeCell ref="A173:C173"/>
    <mergeCell ref="A174:C174"/>
    <mergeCell ref="A176:C176"/>
    <mergeCell ref="A177:C177"/>
    <mergeCell ref="A179:C179"/>
    <mergeCell ref="A180:C180"/>
    <mergeCell ref="A197:C197"/>
    <mergeCell ref="A182:C182"/>
    <mergeCell ref="A184:C184"/>
    <mergeCell ref="A185:C185"/>
    <mergeCell ref="A187:C187"/>
    <mergeCell ref="A188:C188"/>
    <mergeCell ref="A189:C189"/>
    <mergeCell ref="A190:C190"/>
    <mergeCell ref="A192:C192"/>
    <mergeCell ref="A193:C193"/>
    <mergeCell ref="A195:C195"/>
    <mergeCell ref="A196:C196"/>
    <mergeCell ref="A214:C214"/>
    <mergeCell ref="A198:C198"/>
    <mergeCell ref="A201:C201"/>
    <mergeCell ref="A202:C202"/>
    <mergeCell ref="A204:C204"/>
    <mergeCell ref="A205:C205"/>
    <mergeCell ref="A206:C206"/>
    <mergeCell ref="A207:C207"/>
    <mergeCell ref="A209:C209"/>
    <mergeCell ref="A211:C211"/>
    <mergeCell ref="A212:C212"/>
    <mergeCell ref="A213:C213"/>
    <mergeCell ref="A216:C216"/>
    <mergeCell ref="A218:C218"/>
    <mergeCell ref="A219:C219"/>
    <mergeCell ref="A220:C220"/>
    <mergeCell ref="A221:C221"/>
  </mergeCells>
  <hyperlinks>
    <hyperlink ref="D63" location="'2009-10'!A160" display="Bottom" xr:uid="{2669467B-A6E2-4569-8CBA-FD0E73B50F9E}"/>
  </hyperlink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9618E-B009-4DEC-BC4F-ECA0E19BE257}">
  <dimension ref="A1:AL19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defaultRowHeight="12.75" x14ac:dyDescent="0.2"/>
  <cols>
    <col min="1" max="1" width="8" bestFit="1" customWidth="1"/>
    <col min="2" max="2" width="26" bestFit="1" customWidth="1"/>
    <col min="3" max="3" width="15.42578125" bestFit="1" customWidth="1"/>
    <col min="4" max="4" width="3" customWidth="1"/>
    <col min="5" max="5" width="0.85546875" style="445" customWidth="1"/>
    <col min="6" max="6" width="10.140625" customWidth="1"/>
    <col min="7" max="8" width="8.7109375" bestFit="1" customWidth="1"/>
    <col min="9" max="9" width="3" style="5" bestFit="1" customWidth="1"/>
    <col min="10" max="10" width="0.85546875" style="398" customWidth="1"/>
    <col min="11" max="11" width="9" bestFit="1" customWidth="1"/>
    <col min="12" max="13" width="8.7109375" bestFit="1" customWidth="1"/>
    <col min="14" max="14" width="0.85546875" style="445" customWidth="1"/>
    <col min="15" max="15" width="10.28515625" style="5" bestFit="1" customWidth="1"/>
    <col min="16" max="17" width="8.28515625" style="5" customWidth="1"/>
    <col min="18" max="18" width="8.7109375" style="5" bestFit="1" customWidth="1"/>
    <col min="19" max="19" width="9" bestFit="1" customWidth="1"/>
    <col min="20" max="20" width="8.140625" bestFit="1" customWidth="1"/>
    <col min="21" max="21" width="1.7109375" customWidth="1"/>
    <col min="22" max="22" width="9" style="334" bestFit="1" customWidth="1"/>
    <col min="25" max="25" width="10.7109375" bestFit="1" customWidth="1"/>
    <col min="26" max="26" width="10.28515625" bestFit="1" customWidth="1"/>
    <col min="27" max="27" width="2.7109375" style="2" bestFit="1" customWidth="1"/>
    <col min="29" max="29" width="9.5703125" bestFit="1" customWidth="1"/>
    <col min="31" max="31" width="9.5703125" bestFit="1" customWidth="1"/>
    <col min="33" max="33" width="3" bestFit="1" customWidth="1"/>
    <col min="34" max="34" width="10" style="2" bestFit="1" customWidth="1"/>
    <col min="35" max="35" width="10" style="2" customWidth="1"/>
    <col min="36" max="36" width="9.140625" style="2"/>
    <col min="37" max="37" width="9.28515625" style="2" bestFit="1" customWidth="1"/>
  </cols>
  <sheetData>
    <row r="1" spans="1:38" s="217" customFormat="1" ht="15.75" x14ac:dyDescent="0.25">
      <c r="B1" s="313" t="s">
        <v>445</v>
      </c>
      <c r="C1" s="313"/>
      <c r="D1" s="313"/>
      <c r="E1" s="313"/>
      <c r="F1" s="313"/>
      <c r="G1" s="313"/>
      <c r="H1" s="314"/>
      <c r="I1" s="315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V1" s="316"/>
      <c r="AA1" s="317"/>
      <c r="AH1" s="317"/>
      <c r="AI1" s="317"/>
      <c r="AJ1" s="317"/>
      <c r="AK1" s="317"/>
    </row>
    <row r="2" spans="1:38" s="320" customFormat="1" ht="12.75" customHeight="1" x14ac:dyDescent="0.2">
      <c r="A2" s="318"/>
      <c r="B2" s="319"/>
      <c r="C2" s="319"/>
      <c r="D2" s="319"/>
      <c r="F2" s="321"/>
      <c r="G2" s="320" t="s">
        <v>308</v>
      </c>
      <c r="I2" s="322"/>
      <c r="J2" s="323"/>
      <c r="K2" s="321"/>
      <c r="L2" s="320" t="s">
        <v>309</v>
      </c>
      <c r="M2" s="324"/>
      <c r="O2" s="768" t="s">
        <v>310</v>
      </c>
      <c r="P2" s="769"/>
      <c r="Q2" s="769"/>
      <c r="R2" s="769"/>
      <c r="S2" s="769"/>
      <c r="T2" s="770"/>
      <c r="V2" s="325"/>
      <c r="W2" s="771" t="s">
        <v>311</v>
      </c>
      <c r="X2" s="772"/>
      <c r="Y2" s="772"/>
      <c r="Z2" s="773"/>
      <c r="AB2" s="774" t="s">
        <v>312</v>
      </c>
      <c r="AC2" s="775"/>
      <c r="AD2" s="775"/>
      <c r="AE2" s="775"/>
      <c r="AF2" s="776"/>
    </row>
    <row r="3" spans="1:38" ht="33.75" x14ac:dyDescent="0.25">
      <c r="A3" s="326"/>
      <c r="B3" s="219" t="s">
        <v>440</v>
      </c>
      <c r="C3" s="327"/>
      <c r="D3" s="328"/>
      <c r="E3" s="329"/>
      <c r="F3" s="330" t="s">
        <v>208</v>
      </c>
      <c r="G3" s="330"/>
      <c r="H3" s="331"/>
      <c r="I3" s="332"/>
      <c r="J3" s="333"/>
      <c r="K3" s="759" t="s">
        <v>276</v>
      </c>
      <c r="L3" s="759"/>
      <c r="M3" s="760"/>
      <c r="N3" s="329"/>
      <c r="O3" s="761" t="s">
        <v>207</v>
      </c>
      <c r="P3" s="761"/>
      <c r="Q3" s="761"/>
      <c r="R3" s="761"/>
      <c r="S3" s="761"/>
      <c r="T3" s="761"/>
      <c r="W3" s="335" t="s">
        <v>313</v>
      </c>
      <c r="X3" s="336" t="s">
        <v>314</v>
      </c>
      <c r="Y3" s="337" t="s">
        <v>315</v>
      </c>
      <c r="Z3" s="337" t="s">
        <v>316</v>
      </c>
      <c r="AC3" s="335" t="s">
        <v>313</v>
      </c>
      <c r="AD3" s="336" t="s">
        <v>314</v>
      </c>
      <c r="AE3" s="337" t="s">
        <v>315</v>
      </c>
      <c r="AF3" s="337" t="s">
        <v>316</v>
      </c>
    </row>
    <row r="4" spans="1:38" ht="74.25" x14ac:dyDescent="0.2">
      <c r="A4" s="7" t="s">
        <v>35</v>
      </c>
      <c r="B4" s="33" t="s">
        <v>36</v>
      </c>
      <c r="C4" s="32" t="s">
        <v>14</v>
      </c>
      <c r="D4" s="34" t="s">
        <v>4</v>
      </c>
      <c r="E4" s="329"/>
      <c r="F4" s="338" t="s">
        <v>317</v>
      </c>
      <c r="G4" s="339" t="s">
        <v>318</v>
      </c>
      <c r="H4" s="340" t="s">
        <v>319</v>
      </c>
      <c r="I4" s="341" t="s">
        <v>320</v>
      </c>
      <c r="J4" s="342"/>
      <c r="K4" s="343" t="s">
        <v>317</v>
      </c>
      <c r="L4" s="344" t="s">
        <v>318</v>
      </c>
      <c r="M4" s="345" t="s">
        <v>319</v>
      </c>
      <c r="N4" s="329"/>
      <c r="O4" s="346" t="s">
        <v>321</v>
      </c>
      <c r="P4" s="347" t="s">
        <v>318</v>
      </c>
      <c r="Q4" s="348" t="s">
        <v>319</v>
      </c>
      <c r="R4" s="349" t="s">
        <v>322</v>
      </c>
      <c r="S4" s="350" t="s">
        <v>318</v>
      </c>
      <c r="T4" s="351" t="s">
        <v>319</v>
      </c>
      <c r="U4" s="572" t="s">
        <v>407</v>
      </c>
      <c r="V4" s="352" t="s">
        <v>323</v>
      </c>
      <c r="W4" s="762" t="s">
        <v>324</v>
      </c>
      <c r="X4" s="763"/>
      <c r="Y4" s="763"/>
      <c r="Z4" s="763"/>
      <c r="AA4" s="353" t="s">
        <v>325</v>
      </c>
      <c r="AB4" s="354" t="s">
        <v>522</v>
      </c>
      <c r="AC4" s="766" t="s">
        <v>326</v>
      </c>
      <c r="AD4" s="767"/>
      <c r="AE4" s="767"/>
      <c r="AF4" s="767"/>
      <c r="AG4" s="355" t="s">
        <v>278</v>
      </c>
      <c r="AH4" s="356" t="s">
        <v>327</v>
      </c>
      <c r="AI4" s="356" t="s">
        <v>328</v>
      </c>
      <c r="AJ4" s="356" t="s">
        <v>329</v>
      </c>
      <c r="AK4" s="350" t="s">
        <v>318</v>
      </c>
      <c r="AL4" s="351" t="s">
        <v>319</v>
      </c>
    </row>
    <row r="5" spans="1:38" x14ac:dyDescent="0.2">
      <c r="A5" s="9">
        <v>10050</v>
      </c>
      <c r="B5" s="9" t="s">
        <v>71</v>
      </c>
      <c r="C5" s="9" t="s">
        <v>66</v>
      </c>
      <c r="D5" s="29" t="s">
        <v>1</v>
      </c>
      <c r="E5" s="357"/>
      <c r="F5" s="358">
        <f>'App 6 - Residual Waste'!F5</f>
        <v>6834.34</v>
      </c>
      <c r="G5" s="359">
        <f t="shared" ref="G5:G68" si="0">(F5*1000)/W5/52</f>
        <v>5.0429596878449612</v>
      </c>
      <c r="H5" s="360">
        <f t="shared" ref="H5:H68" si="1">(F5*1000)/AC5/52</f>
        <v>2.3517796078909785</v>
      </c>
      <c r="I5" s="361"/>
      <c r="J5" s="362"/>
      <c r="K5" s="363">
        <f>'App 4 - Recyclables'!F6</f>
        <v>4461</v>
      </c>
      <c r="L5" s="364">
        <f>(K5*1000)/X5/52</f>
        <v>3.2784981670983124</v>
      </c>
      <c r="M5" s="364">
        <f>(K5*1000)/AD5/52</f>
        <v>1.5289246020494467</v>
      </c>
      <c r="N5" s="357"/>
      <c r="O5" s="365">
        <f>'App 5 - Organics'!F5</f>
        <v>0</v>
      </c>
      <c r="P5" s="366"/>
      <c r="Q5" s="367"/>
      <c r="R5" s="368">
        <f>'App 5 - Organics'!J5</f>
        <v>11878.99</v>
      </c>
      <c r="S5" s="369">
        <f>(R5*1000)/Z5/52</f>
        <v>8.5977461567412643</v>
      </c>
      <c r="T5" s="370">
        <f>(R5*1000)/AF5/52</f>
        <v>4.0095510051336287</v>
      </c>
      <c r="V5" s="371">
        <f>'App 1 - Services'!G5</f>
        <v>26823</v>
      </c>
      <c r="W5" s="372">
        <f>'App 1 - Services'!M5</f>
        <v>26062</v>
      </c>
      <c r="X5" s="373">
        <f>'App 1 - Services'!N5</f>
        <v>26167</v>
      </c>
      <c r="Y5" s="374">
        <v>0</v>
      </c>
      <c r="Z5" s="368">
        <v>26570</v>
      </c>
      <c r="AB5" s="375">
        <f>'App 1 - Services'!F5</f>
        <v>57517</v>
      </c>
      <c r="AC5" s="372">
        <f t="shared" ref="AC5:AF5" si="2">(W5/$V5)*$AB5</f>
        <v>55885.175185475149</v>
      </c>
      <c r="AD5" s="373">
        <f t="shared" si="2"/>
        <v>56110.328412183575</v>
      </c>
      <c r="AE5" s="374">
        <f t="shared" si="2"/>
        <v>0</v>
      </c>
      <c r="AF5" s="368">
        <f t="shared" si="2"/>
        <v>56974.487939454943</v>
      </c>
      <c r="AG5" s="376" t="s">
        <v>13</v>
      </c>
      <c r="AH5" s="377">
        <f t="shared" ref="AH5:AH68" si="3">Y5+Z5</f>
        <v>26570</v>
      </c>
      <c r="AI5" s="377">
        <f t="shared" ref="AI5:AI68" si="4">AE5+AF5</f>
        <v>56974.487939454943</v>
      </c>
      <c r="AJ5" s="377">
        <f t="shared" ref="AJ5:AJ68" si="5">O5+R5</f>
        <v>11878.99</v>
      </c>
      <c r="AK5" s="369"/>
      <c r="AL5" s="370">
        <f>(AJ5*1000)/AF5/52</f>
        <v>4.0095510051336287</v>
      </c>
    </row>
    <row r="6" spans="1:38" x14ac:dyDescent="0.2">
      <c r="A6" s="8">
        <v>10180</v>
      </c>
      <c r="B6" s="8" t="s">
        <v>72</v>
      </c>
      <c r="C6" s="8" t="s">
        <v>16</v>
      </c>
      <c r="D6" s="29" t="s">
        <v>1</v>
      </c>
      <c r="E6" s="357"/>
      <c r="F6" s="358">
        <f>'App 6 - Residual Waste'!F6</f>
        <v>5660</v>
      </c>
      <c r="G6" s="359">
        <f t="shared" si="0"/>
        <v>10.314238021998849</v>
      </c>
      <c r="H6" s="360">
        <f t="shared" si="1"/>
        <v>4.5545199186146155</v>
      </c>
      <c r="I6" s="361"/>
      <c r="J6" s="362"/>
      <c r="K6" s="363">
        <f>'App 4 - Recyclables'!F7</f>
        <v>2955</v>
      </c>
      <c r="L6" s="364">
        <f t="shared" ref="L6:L69" si="6">(K6*1000)/X6/52</f>
        <v>5.5560151619987357</v>
      </c>
      <c r="M6" s="364">
        <f t="shared" ref="M6:M69" si="7">(K6*1000)/AD6/52</f>
        <v>2.4534029241400113</v>
      </c>
      <c r="N6" s="357"/>
      <c r="O6" s="365">
        <f>'App 5 - Organics'!F6</f>
        <v>0</v>
      </c>
      <c r="P6" s="366"/>
      <c r="Q6" s="367"/>
      <c r="R6" s="368">
        <f>'App 5 - Organics'!J6</f>
        <v>3173</v>
      </c>
      <c r="S6" s="369">
        <f t="shared" ref="S6:S69" si="8">(R6*1000)/Z6/52</f>
        <v>5.9659005445082878</v>
      </c>
      <c r="T6" s="370">
        <f t="shared" ref="T6:T69" si="9">(R6*1000)/AF6/52</f>
        <v>2.6343984698126075</v>
      </c>
      <c r="V6" s="371">
        <f>'App 1 - Services'!G6</f>
        <v>13068</v>
      </c>
      <c r="W6" s="372">
        <f>'App 1 - Services'!M6</f>
        <v>10553</v>
      </c>
      <c r="X6" s="373">
        <f>'App 1 - Services'!N6</f>
        <v>10228</v>
      </c>
      <c r="Y6" s="374">
        <v>0</v>
      </c>
      <c r="Z6" s="368">
        <v>10228</v>
      </c>
      <c r="AB6" s="375">
        <f>'App 1 - Services'!F6</f>
        <v>29594</v>
      </c>
      <c r="AC6" s="372">
        <f t="shared" ref="AC6:AC69" si="10">(W6/$V6)*$AB6</f>
        <v>23898.491123354761</v>
      </c>
      <c r="AD6" s="373">
        <f t="shared" ref="AD6:AD69" si="11">(X6/$V6)*$AB6</f>
        <v>23162.490970309151</v>
      </c>
      <c r="AE6" s="374">
        <f t="shared" ref="AE6:AE69" si="12">(Y6/$V6)*$AB6</f>
        <v>0</v>
      </c>
      <c r="AF6" s="368">
        <f t="shared" ref="AF6:AF69" si="13">(Z6/$V6)*$AB6</f>
        <v>23162.490970309151</v>
      </c>
      <c r="AG6" s="376" t="s">
        <v>13</v>
      </c>
      <c r="AH6" s="377">
        <f t="shared" si="3"/>
        <v>10228</v>
      </c>
      <c r="AI6" s="377">
        <f t="shared" si="4"/>
        <v>23162.490970309151</v>
      </c>
      <c r="AJ6" s="377">
        <f t="shared" si="5"/>
        <v>3173</v>
      </c>
      <c r="AK6" s="369"/>
      <c r="AL6" s="370">
        <f>(AJ6*1000)/AF6/52</f>
        <v>2.6343984698126075</v>
      </c>
    </row>
    <row r="7" spans="1:38" x14ac:dyDescent="0.2">
      <c r="A7" s="8">
        <v>10250</v>
      </c>
      <c r="B7" s="8" t="s">
        <v>73</v>
      </c>
      <c r="C7" s="8" t="s">
        <v>19</v>
      </c>
      <c r="D7" s="29" t="s">
        <v>3</v>
      </c>
      <c r="E7" s="357"/>
      <c r="F7" s="358">
        <f>'App 6 - Residual Waste'!F7</f>
        <v>8099</v>
      </c>
      <c r="G7" s="359">
        <f t="shared" si="0"/>
        <v>8.7387084104808395</v>
      </c>
      <c r="H7" s="360">
        <f t="shared" si="1"/>
        <v>3.878900456912179</v>
      </c>
      <c r="I7" s="361"/>
      <c r="J7" s="362"/>
      <c r="K7" s="363">
        <f>'App 4 - Recyclables'!F8</f>
        <v>4168</v>
      </c>
      <c r="L7" s="364">
        <f t="shared" si="6"/>
        <v>4.742269917988768</v>
      </c>
      <c r="M7" s="364">
        <f t="shared" si="7"/>
        <v>2.1049784576431878</v>
      </c>
      <c r="N7" s="357"/>
      <c r="O7" s="365">
        <f>'App 5 - Organics'!F7</f>
        <v>0</v>
      </c>
      <c r="P7" s="366"/>
      <c r="Q7" s="367"/>
      <c r="R7" s="368">
        <f>'App 5 - Organics'!J7</f>
        <v>7111</v>
      </c>
      <c r="S7" s="369">
        <f t="shared" si="8"/>
        <v>9.4998263285863143</v>
      </c>
      <c r="T7" s="370">
        <f t="shared" si="9"/>
        <v>4.2167422181457388</v>
      </c>
      <c r="V7" s="371">
        <f>'App 1 - Services'!G7</f>
        <v>20986</v>
      </c>
      <c r="W7" s="372">
        <f>'App 1 - Services'!M7</f>
        <v>17823</v>
      </c>
      <c r="X7" s="373">
        <f>'App 1 - Services'!N7</f>
        <v>16902</v>
      </c>
      <c r="Y7" s="374">
        <v>0</v>
      </c>
      <c r="Z7" s="368">
        <v>14395</v>
      </c>
      <c r="AB7" s="375">
        <f>'App 1 - Services'!F7</f>
        <v>47279</v>
      </c>
      <c r="AC7" s="372">
        <f t="shared" si="10"/>
        <v>40153.131468598112</v>
      </c>
      <c r="AD7" s="373">
        <f t="shared" si="11"/>
        <v>38078.226341370435</v>
      </c>
      <c r="AE7" s="374">
        <f t="shared" si="12"/>
        <v>0</v>
      </c>
      <c r="AF7" s="368">
        <f t="shared" si="13"/>
        <v>32430.248975507482</v>
      </c>
      <c r="AG7" s="376" t="s">
        <v>13</v>
      </c>
      <c r="AH7" s="377">
        <f t="shared" si="3"/>
        <v>14395</v>
      </c>
      <c r="AI7" s="377">
        <f t="shared" si="4"/>
        <v>32430.248975507482</v>
      </c>
      <c r="AJ7" s="377">
        <f t="shared" si="5"/>
        <v>7111</v>
      </c>
      <c r="AK7" s="369"/>
      <c r="AL7" s="370">
        <f>(AJ7*1000)/AF7/52</f>
        <v>4.2167422181457388</v>
      </c>
    </row>
    <row r="8" spans="1:38" x14ac:dyDescent="0.2">
      <c r="A8" s="8">
        <v>10300</v>
      </c>
      <c r="B8" s="8" t="s">
        <v>74</v>
      </c>
      <c r="C8" s="8" t="s">
        <v>66</v>
      </c>
      <c r="D8" s="29" t="s">
        <v>1</v>
      </c>
      <c r="E8" s="357"/>
      <c r="F8" s="358">
        <f>'App 6 - Residual Waste'!F8</f>
        <v>350</v>
      </c>
      <c r="G8" s="359">
        <f t="shared" si="0"/>
        <v>6.3798760481224939</v>
      </c>
      <c r="H8" s="360">
        <f t="shared" si="1"/>
        <v>4.783458381221724</v>
      </c>
      <c r="I8" s="361"/>
      <c r="J8" s="362"/>
      <c r="K8" s="363">
        <f>'App 4 - Recyclables'!F9</f>
        <v>0</v>
      </c>
      <c r="L8" s="364"/>
      <c r="M8" s="364"/>
      <c r="N8" s="357"/>
      <c r="O8" s="365">
        <f>'App 5 - Organics'!F8</f>
        <v>0</v>
      </c>
      <c r="P8" s="366"/>
      <c r="Q8" s="367"/>
      <c r="R8" s="368">
        <f>'App 5 - Organics'!J8</f>
        <v>0</v>
      </c>
      <c r="S8" s="369"/>
      <c r="T8" s="370"/>
      <c r="V8" s="371">
        <f>'App 1 - Services'!G8</f>
        <v>1651</v>
      </c>
      <c r="W8" s="372">
        <f>'App 1 - Services'!M8</f>
        <v>1055</v>
      </c>
      <c r="X8" s="373">
        <f>'App 1 - Services'!N8</f>
        <v>0</v>
      </c>
      <c r="Y8" s="374">
        <v>0</v>
      </c>
      <c r="Z8" s="368">
        <v>0</v>
      </c>
      <c r="AA8" s="2">
        <v>1</v>
      </c>
      <c r="AB8" s="375">
        <f>'App 1 - Services'!F8</f>
        <v>2202</v>
      </c>
      <c r="AC8" s="372">
        <f t="shared" si="10"/>
        <v>1407.0926711084192</v>
      </c>
      <c r="AD8" s="373">
        <f t="shared" si="11"/>
        <v>0</v>
      </c>
      <c r="AE8" s="374">
        <f t="shared" si="12"/>
        <v>0</v>
      </c>
      <c r="AF8" s="368">
        <f t="shared" si="13"/>
        <v>0</v>
      </c>
      <c r="AG8" s="376"/>
      <c r="AH8" s="377">
        <f t="shared" si="3"/>
        <v>0</v>
      </c>
      <c r="AI8" s="377">
        <f t="shared" si="4"/>
        <v>0</v>
      </c>
      <c r="AJ8" s="377">
        <f t="shared" si="5"/>
        <v>0</v>
      </c>
      <c r="AK8" s="369"/>
      <c r="AL8" s="370"/>
    </row>
    <row r="9" spans="1:38" x14ac:dyDescent="0.2">
      <c r="A9" s="8">
        <v>10470</v>
      </c>
      <c r="B9" s="8" t="s">
        <v>75</v>
      </c>
      <c r="C9" s="8" t="s">
        <v>38</v>
      </c>
      <c r="D9" s="29" t="s">
        <v>1</v>
      </c>
      <c r="E9" s="357"/>
      <c r="F9" s="358">
        <f>'App 6 - Residual Waste'!F9</f>
        <v>10154</v>
      </c>
      <c r="G9" s="359">
        <f t="shared" si="0"/>
        <v>11.547559477778282</v>
      </c>
      <c r="H9" s="360">
        <f t="shared" si="1"/>
        <v>5.2674803947993372</v>
      </c>
      <c r="I9" s="361"/>
      <c r="J9" s="362"/>
      <c r="K9" s="363">
        <f>'App 4 - Recyclables'!F10</f>
        <v>2179</v>
      </c>
      <c r="L9" s="364">
        <f t="shared" si="6"/>
        <v>2.6446100444207099</v>
      </c>
      <c r="M9" s="364">
        <f t="shared" si="7"/>
        <v>1.2063528737550759</v>
      </c>
      <c r="N9" s="357"/>
      <c r="O9" s="365">
        <f>'App 5 - Organics'!F9</f>
        <v>0</v>
      </c>
      <c r="P9" s="366"/>
      <c r="Q9" s="367"/>
      <c r="R9" s="368">
        <f>'App 5 - Organics'!J9</f>
        <v>4759</v>
      </c>
      <c r="S9" s="369">
        <f t="shared" si="8"/>
        <v>6.3585931195185692</v>
      </c>
      <c r="T9" s="370">
        <f t="shared" si="9"/>
        <v>2.9005059172913765</v>
      </c>
      <c r="V9" s="371">
        <f>'App 1 - Services'!G9</f>
        <v>20350</v>
      </c>
      <c r="W9" s="372">
        <f>'App 1 - Services'!M9</f>
        <v>16910</v>
      </c>
      <c r="X9" s="373">
        <f>'App 1 - Services'!N9</f>
        <v>15845</v>
      </c>
      <c r="Y9" s="374">
        <v>0</v>
      </c>
      <c r="Z9" s="368">
        <v>14393</v>
      </c>
      <c r="AB9" s="375">
        <f>'App 1 - Services'!F9</f>
        <v>44612</v>
      </c>
      <c r="AC9" s="372">
        <f t="shared" si="10"/>
        <v>37070.708599508602</v>
      </c>
      <c r="AD9" s="373">
        <f t="shared" si="11"/>
        <v>34735.9773955774</v>
      </c>
      <c r="AE9" s="374">
        <f t="shared" si="12"/>
        <v>0</v>
      </c>
      <c r="AF9" s="368">
        <f t="shared" si="13"/>
        <v>31552.85090909091</v>
      </c>
      <c r="AG9" s="376" t="s">
        <v>13</v>
      </c>
      <c r="AH9" s="377">
        <f t="shared" si="3"/>
        <v>14393</v>
      </c>
      <c r="AI9" s="377">
        <f t="shared" si="4"/>
        <v>31552.85090909091</v>
      </c>
      <c r="AJ9" s="377">
        <f t="shared" si="5"/>
        <v>4759</v>
      </c>
      <c r="AK9" s="369"/>
      <c r="AL9" s="370">
        <f>(AJ9*1000)/AF9/52</f>
        <v>2.9005059172913765</v>
      </c>
    </row>
    <row r="10" spans="1:38" x14ac:dyDescent="0.2">
      <c r="A10" s="8">
        <v>10500</v>
      </c>
      <c r="B10" s="8" t="s">
        <v>405</v>
      </c>
      <c r="C10" s="8" t="s">
        <v>17</v>
      </c>
      <c r="D10" s="29" t="s">
        <v>2</v>
      </c>
      <c r="E10" s="357"/>
      <c r="F10" s="358">
        <f>'App 6 - Residual Waste'!F10</f>
        <v>41324.92</v>
      </c>
      <c r="G10" s="359">
        <f t="shared" si="0"/>
        <v>11.922557609217476</v>
      </c>
      <c r="H10" s="360">
        <f t="shared" si="1"/>
        <v>4.4274272744049901</v>
      </c>
      <c r="I10" s="361"/>
      <c r="J10" s="362"/>
      <c r="K10" s="363">
        <f>'App 4 - Recyclables'!F11</f>
        <v>9159</v>
      </c>
      <c r="L10" s="364">
        <f t="shared" si="6"/>
        <v>2.7146496830389375</v>
      </c>
      <c r="M10" s="364">
        <f t="shared" si="7"/>
        <v>1.008081859705126</v>
      </c>
      <c r="N10" s="357"/>
      <c r="O10" s="365">
        <f>'App 5 - Organics'!F10</f>
        <v>2040</v>
      </c>
      <c r="P10" s="366">
        <f t="shared" ref="P10:P66" si="14">(O10*1000)/Y10/52</f>
        <v>2.4271960174948481</v>
      </c>
      <c r="Q10" s="367">
        <f t="shared" ref="Q10:Q66" si="15">(O10*1000)/AE10/52</f>
        <v>0.9013362904512886</v>
      </c>
      <c r="R10" s="368">
        <f>'App 5 - Organics'!J10</f>
        <v>0</v>
      </c>
      <c r="S10" s="369"/>
      <c r="T10" s="370"/>
      <c r="V10" s="371">
        <f>'App 1 - Services'!G10</f>
        <v>67952</v>
      </c>
      <c r="W10" s="372">
        <f>'App 1 - Services'!M10</f>
        <v>66656</v>
      </c>
      <c r="X10" s="373">
        <f>'App 1 - Services'!N10</f>
        <v>64883</v>
      </c>
      <c r="Y10" s="374">
        <v>16163</v>
      </c>
      <c r="Z10" s="368">
        <v>0</v>
      </c>
      <c r="AB10" s="375">
        <f>'App 1 - Services'!F10</f>
        <v>182987</v>
      </c>
      <c r="AC10" s="372">
        <f t="shared" si="10"/>
        <v>179497.01954320696</v>
      </c>
      <c r="AD10" s="373">
        <f t="shared" si="11"/>
        <v>174722.53239051095</v>
      </c>
      <c r="AE10" s="374">
        <f t="shared" si="12"/>
        <v>43525.118922180358</v>
      </c>
      <c r="AF10" s="368">
        <f t="shared" si="13"/>
        <v>0</v>
      </c>
      <c r="AG10" s="376"/>
      <c r="AH10" s="377">
        <f t="shared" si="3"/>
        <v>16163</v>
      </c>
      <c r="AI10" s="377">
        <f t="shared" si="4"/>
        <v>43525.118922180358</v>
      </c>
      <c r="AJ10" s="377">
        <f t="shared" si="5"/>
        <v>2040</v>
      </c>
      <c r="AK10" s="369">
        <f>(AJ10*1000)/AE10/52</f>
        <v>0.9013362904512886</v>
      </c>
      <c r="AL10" s="370"/>
    </row>
    <row r="11" spans="1:38" x14ac:dyDescent="0.2">
      <c r="A11" s="8">
        <v>10550</v>
      </c>
      <c r="B11" s="8" t="s">
        <v>76</v>
      </c>
      <c r="C11" s="8" t="s">
        <v>67</v>
      </c>
      <c r="D11" s="29" t="s">
        <v>1</v>
      </c>
      <c r="E11" s="357"/>
      <c r="F11" s="358">
        <f>'App 6 - Residual Waste'!F11</f>
        <v>7034</v>
      </c>
      <c r="G11" s="359">
        <f t="shared" si="0"/>
        <v>8.4829569026232754</v>
      </c>
      <c r="H11" s="360">
        <f t="shared" si="1"/>
        <v>4.412288011039478</v>
      </c>
      <c r="I11" s="361"/>
      <c r="J11" s="362"/>
      <c r="K11" s="363">
        <f>'App 4 - Recyclables'!F12</f>
        <v>3614</v>
      </c>
      <c r="L11" s="364">
        <f t="shared" si="6"/>
        <v>4.2866835255659037</v>
      </c>
      <c r="M11" s="364">
        <f t="shared" si="7"/>
        <v>2.2296567746472782</v>
      </c>
      <c r="N11" s="357"/>
      <c r="O11" s="365">
        <f>'App 5 - Organics'!F11</f>
        <v>0</v>
      </c>
      <c r="P11" s="366"/>
      <c r="Q11" s="367"/>
      <c r="R11" s="368">
        <f>'App 5 - Organics'!J11</f>
        <v>5500</v>
      </c>
      <c r="S11" s="369">
        <f t="shared" ref="S11" si="16">(R11*1000)/Z11/52</f>
        <v>8.6398652809370002</v>
      </c>
      <c r="T11" s="370">
        <f t="shared" ref="T11" si="17">(R11*1000)/AF11/52</f>
        <v>4.4939016469936117</v>
      </c>
      <c r="V11" s="371">
        <f>'App 1 - Services'!G11</f>
        <v>18870</v>
      </c>
      <c r="W11" s="372">
        <f>'App 1 - Services'!M11</f>
        <v>15946</v>
      </c>
      <c r="X11" s="373">
        <f>'App 1 - Services'!N11</f>
        <v>16213</v>
      </c>
      <c r="Y11" s="374">
        <v>0</v>
      </c>
      <c r="Z11" s="368">
        <v>12242</v>
      </c>
      <c r="AB11" s="375">
        <f>'App 1 - Services'!F11</f>
        <v>36279</v>
      </c>
      <c r="AC11" s="372">
        <f t="shared" si="10"/>
        <v>30657.389189189191</v>
      </c>
      <c r="AD11" s="373">
        <f t="shared" si="11"/>
        <v>31170.716852146266</v>
      </c>
      <c r="AE11" s="374">
        <f t="shared" si="12"/>
        <v>0</v>
      </c>
      <c r="AF11" s="368">
        <f t="shared" si="13"/>
        <v>23536.16947535771</v>
      </c>
      <c r="AG11" s="376" t="s">
        <v>330</v>
      </c>
      <c r="AH11" s="377">
        <f t="shared" si="3"/>
        <v>12242</v>
      </c>
      <c r="AI11" s="377">
        <f t="shared" si="4"/>
        <v>23536.16947535771</v>
      </c>
      <c r="AJ11" s="377">
        <f t="shared" si="5"/>
        <v>5500</v>
      </c>
      <c r="AK11" s="369"/>
      <c r="AL11" s="370">
        <f>(AJ11*1000)/AF11/52</f>
        <v>4.4939016469936117</v>
      </c>
    </row>
    <row r="12" spans="1:38" x14ac:dyDescent="0.2">
      <c r="A12" s="8">
        <v>10600</v>
      </c>
      <c r="B12" s="8" t="s">
        <v>44</v>
      </c>
      <c r="C12" s="8" t="s">
        <v>39</v>
      </c>
      <c r="D12" s="29" t="s">
        <v>3</v>
      </c>
      <c r="E12" s="357"/>
      <c r="F12" s="358">
        <f>'App 6 - Residual Waste'!F12</f>
        <v>1288.7</v>
      </c>
      <c r="G12" s="359">
        <f t="shared" si="0"/>
        <v>3.0076082897684842</v>
      </c>
      <c r="H12" s="360">
        <f t="shared" si="1"/>
        <v>1.4470889859168745</v>
      </c>
      <c r="I12" s="361"/>
      <c r="J12" s="362"/>
      <c r="K12" s="363">
        <f>'App 4 - Recyclables'!F13</f>
        <v>902.12</v>
      </c>
      <c r="L12" s="364">
        <f t="shared" si="6"/>
        <v>4.210791635548917</v>
      </c>
      <c r="M12" s="364">
        <f t="shared" si="7"/>
        <v>2.0259919546447285</v>
      </c>
      <c r="N12" s="357"/>
      <c r="O12" s="365">
        <f>'App 5 - Organics'!F12</f>
        <v>0</v>
      </c>
      <c r="P12" s="366"/>
      <c r="Q12" s="367"/>
      <c r="R12" s="368">
        <f>'App 5 - Organics'!J12</f>
        <v>1755.6</v>
      </c>
      <c r="S12" s="369">
        <f t="shared" si="8"/>
        <v>8.1945481702763256</v>
      </c>
      <c r="T12" s="370">
        <f t="shared" si="9"/>
        <v>3.9427476118191431</v>
      </c>
      <c r="V12" s="371">
        <f>'App 1 - Services'!G12</f>
        <v>6366</v>
      </c>
      <c r="W12" s="372">
        <f>'App 1 - Services'!M12</f>
        <v>8240</v>
      </c>
      <c r="X12" s="373">
        <f>'App 1 - Services'!N12</f>
        <v>4120</v>
      </c>
      <c r="Y12" s="374">
        <v>0</v>
      </c>
      <c r="Z12" s="368">
        <v>4120</v>
      </c>
      <c r="AB12" s="375">
        <f>'App 1 - Services'!F12</f>
        <v>13231</v>
      </c>
      <c r="AC12" s="372">
        <f t="shared" si="10"/>
        <v>17125.89381087025</v>
      </c>
      <c r="AD12" s="373">
        <f t="shared" si="11"/>
        <v>8562.9469054351248</v>
      </c>
      <c r="AE12" s="374">
        <f t="shared" si="12"/>
        <v>0</v>
      </c>
      <c r="AF12" s="368">
        <f t="shared" si="13"/>
        <v>8562.9469054351248</v>
      </c>
      <c r="AG12" s="376" t="s">
        <v>13</v>
      </c>
      <c r="AH12" s="377">
        <f t="shared" si="3"/>
        <v>4120</v>
      </c>
      <c r="AI12" s="377">
        <f t="shared" si="4"/>
        <v>8562.9469054351248</v>
      </c>
      <c r="AJ12" s="377">
        <f t="shared" si="5"/>
        <v>1755.6</v>
      </c>
      <c r="AK12" s="369"/>
      <c r="AL12" s="370">
        <f>(AJ12*1000)/AF12/52</f>
        <v>3.9427476118191431</v>
      </c>
    </row>
    <row r="13" spans="1:38" x14ac:dyDescent="0.2">
      <c r="A13" s="8">
        <v>10650</v>
      </c>
      <c r="B13" s="8" t="s">
        <v>77</v>
      </c>
      <c r="C13" s="8" t="s">
        <v>66</v>
      </c>
      <c r="D13" s="29" t="s">
        <v>1</v>
      </c>
      <c r="E13" s="378"/>
      <c r="F13" s="358">
        <f>'App 6 - Residual Waste'!F13</f>
        <v>1723.74</v>
      </c>
      <c r="G13" s="359">
        <f t="shared" si="0"/>
        <v>9.9516199801399434</v>
      </c>
      <c r="H13" s="360">
        <f t="shared" si="1"/>
        <v>6.3511669339872645</v>
      </c>
      <c r="I13" s="361"/>
      <c r="J13" s="362"/>
      <c r="K13" s="363">
        <f>'App 4 - Recyclables'!F14</f>
        <v>536</v>
      </c>
      <c r="L13" s="364">
        <f t="shared" si="6"/>
        <v>3.2963518732626507</v>
      </c>
      <c r="M13" s="364">
        <f t="shared" si="7"/>
        <v>2.1037460294940158</v>
      </c>
      <c r="N13" s="357"/>
      <c r="O13" s="365">
        <f>'App 5 - Organics'!F13</f>
        <v>0</v>
      </c>
      <c r="P13" s="366"/>
      <c r="Q13" s="367"/>
      <c r="R13" s="368">
        <f>'App 5 - Organics'!J13</f>
        <v>0</v>
      </c>
      <c r="S13" s="369"/>
      <c r="T13" s="370"/>
      <c r="V13" s="371">
        <f>'App 1 - Services'!G13</f>
        <v>5516</v>
      </c>
      <c r="W13" s="372">
        <f>'App 1 - Services'!M13</f>
        <v>3331</v>
      </c>
      <c r="X13" s="373">
        <f>'App 1 - Services'!N13</f>
        <v>3127</v>
      </c>
      <c r="Y13" s="374">
        <v>0</v>
      </c>
      <c r="Z13" s="368">
        <v>0</v>
      </c>
      <c r="AA13" s="2">
        <v>1</v>
      </c>
      <c r="AB13" s="375">
        <f>'App 1 - Services'!F13</f>
        <v>8643</v>
      </c>
      <c r="AC13" s="372">
        <f t="shared" si="10"/>
        <v>5219.3315808556927</v>
      </c>
      <c r="AD13" s="373">
        <f t="shared" si="11"/>
        <v>4899.6847353154462</v>
      </c>
      <c r="AE13" s="374">
        <f t="shared" si="12"/>
        <v>0</v>
      </c>
      <c r="AF13" s="368">
        <f t="shared" si="13"/>
        <v>0</v>
      </c>
      <c r="AG13" s="376"/>
      <c r="AH13" s="377">
        <f t="shared" si="3"/>
        <v>0</v>
      </c>
      <c r="AI13" s="377">
        <f t="shared" si="4"/>
        <v>0</v>
      </c>
      <c r="AJ13" s="377">
        <f t="shared" si="5"/>
        <v>0</v>
      </c>
      <c r="AK13" s="369"/>
      <c r="AL13" s="370"/>
    </row>
    <row r="14" spans="1:38" x14ac:dyDescent="0.2">
      <c r="A14" s="8">
        <v>10750</v>
      </c>
      <c r="B14" s="8" t="s">
        <v>45</v>
      </c>
      <c r="C14" s="8" t="s">
        <v>18</v>
      </c>
      <c r="D14" s="29" t="s">
        <v>2</v>
      </c>
      <c r="E14" s="357"/>
      <c r="F14" s="358">
        <f>'App 6 - Residual Waste'!F14</f>
        <v>111502</v>
      </c>
      <c r="G14" s="359">
        <f t="shared" si="0"/>
        <v>17.472146920099661</v>
      </c>
      <c r="H14" s="360">
        <f t="shared" si="1"/>
        <v>6.3560682944398463</v>
      </c>
      <c r="I14" s="361"/>
      <c r="J14" s="362"/>
      <c r="K14" s="363">
        <f>'App 4 - Recyclables'!F15</f>
        <v>20237</v>
      </c>
      <c r="L14" s="364">
        <f t="shared" si="6"/>
        <v>3.1710986100882215</v>
      </c>
      <c r="M14" s="364">
        <f t="shared" si="7"/>
        <v>1.1535914519432759</v>
      </c>
      <c r="N14" s="357"/>
      <c r="O14" s="365">
        <f>'App 5 - Organics'!F14</f>
        <v>0</v>
      </c>
      <c r="P14" s="366"/>
      <c r="Q14" s="367"/>
      <c r="R14" s="368">
        <f>'App 5 - Organics'!J14</f>
        <v>0</v>
      </c>
      <c r="S14" s="369"/>
      <c r="T14" s="370"/>
      <c r="V14" s="371">
        <f>'App 1 - Services'!G14</f>
        <v>155045</v>
      </c>
      <c r="W14" s="372">
        <f>'App 1 - Services'!M14</f>
        <v>122725</v>
      </c>
      <c r="X14" s="373">
        <f>'App 1 - Services'!N14</f>
        <v>122725</v>
      </c>
      <c r="Y14" s="374">
        <v>0</v>
      </c>
      <c r="Z14" s="368">
        <v>0</v>
      </c>
      <c r="AA14" s="2">
        <v>1</v>
      </c>
      <c r="AB14" s="375">
        <f>'App 1 - Services'!F14</f>
        <v>426202</v>
      </c>
      <c r="AC14" s="372">
        <f t="shared" si="10"/>
        <v>337357.80225095944</v>
      </c>
      <c r="AD14" s="373">
        <f t="shared" si="11"/>
        <v>337357.80225095944</v>
      </c>
      <c r="AE14" s="374">
        <f t="shared" si="12"/>
        <v>0</v>
      </c>
      <c r="AF14" s="368">
        <f t="shared" si="13"/>
        <v>0</v>
      </c>
      <c r="AG14" s="376"/>
      <c r="AH14" s="377">
        <f t="shared" si="3"/>
        <v>0</v>
      </c>
      <c r="AI14" s="377">
        <f t="shared" si="4"/>
        <v>0</v>
      </c>
      <c r="AJ14" s="377">
        <f t="shared" si="5"/>
        <v>0</v>
      </c>
      <c r="AK14" s="369"/>
      <c r="AL14" s="370"/>
    </row>
    <row r="15" spans="1:38" x14ac:dyDescent="0.2">
      <c r="A15" s="8">
        <v>10800</v>
      </c>
      <c r="B15" s="8" t="s">
        <v>78</v>
      </c>
      <c r="C15" s="8" t="s">
        <v>21</v>
      </c>
      <c r="D15" s="29" t="s">
        <v>1</v>
      </c>
      <c r="E15" s="357"/>
      <c r="F15" s="358">
        <f>'App 6 - Residual Waste'!F15</f>
        <v>1098.9000000000001</v>
      </c>
      <c r="G15" s="359">
        <f t="shared" si="0"/>
        <v>10.662306916090973</v>
      </c>
      <c r="H15" s="360">
        <f t="shared" si="1"/>
        <v>8.5977533441246017</v>
      </c>
      <c r="I15" s="361"/>
      <c r="J15" s="362"/>
      <c r="K15" s="363">
        <f>'App 4 - Recyclables'!F16</f>
        <v>0</v>
      </c>
      <c r="L15" s="364"/>
      <c r="M15" s="364"/>
      <c r="N15" s="357"/>
      <c r="O15" s="365">
        <f>'App 5 - Organics'!F15</f>
        <v>0</v>
      </c>
      <c r="P15" s="366"/>
      <c r="Q15" s="367"/>
      <c r="R15" s="368">
        <f>'App 5 - Organics'!J15</f>
        <v>0</v>
      </c>
      <c r="S15" s="369"/>
      <c r="T15" s="370"/>
      <c r="V15" s="371">
        <f>'App 1 - Services'!G15</f>
        <v>4406</v>
      </c>
      <c r="W15" s="372">
        <f>'App 1 - Services'!M15</f>
        <v>1982</v>
      </c>
      <c r="X15" s="373">
        <f>'App 1 - Services'!N15</f>
        <v>0</v>
      </c>
      <c r="Y15" s="374">
        <v>0</v>
      </c>
      <c r="Z15" s="368">
        <v>0</v>
      </c>
      <c r="AA15" s="2">
        <v>1</v>
      </c>
      <c r="AB15" s="375">
        <f>'App 1 - Services'!F15</f>
        <v>5464</v>
      </c>
      <c r="AC15" s="372">
        <f t="shared" si="10"/>
        <v>2457.9319110304132</v>
      </c>
      <c r="AD15" s="373">
        <f t="shared" si="11"/>
        <v>0</v>
      </c>
      <c r="AE15" s="374">
        <f t="shared" si="12"/>
        <v>0</v>
      </c>
      <c r="AF15" s="368">
        <f t="shared" si="13"/>
        <v>0</v>
      </c>
      <c r="AG15" s="376"/>
      <c r="AH15" s="377">
        <f t="shared" si="3"/>
        <v>0</v>
      </c>
      <c r="AI15" s="377">
        <f t="shared" si="4"/>
        <v>0</v>
      </c>
      <c r="AJ15" s="377">
        <f t="shared" si="5"/>
        <v>0</v>
      </c>
      <c r="AK15" s="369"/>
      <c r="AL15" s="370"/>
    </row>
    <row r="16" spans="1:38" x14ac:dyDescent="0.2">
      <c r="A16" s="8">
        <v>10850</v>
      </c>
      <c r="B16" s="8" t="s">
        <v>79</v>
      </c>
      <c r="C16" s="8" t="s">
        <v>38</v>
      </c>
      <c r="D16" s="29" t="s">
        <v>1</v>
      </c>
      <c r="E16" s="357"/>
      <c r="F16" s="358">
        <f>'App 6 - Residual Waste'!F16</f>
        <v>1705.5</v>
      </c>
      <c r="G16" s="359">
        <f t="shared" si="0"/>
        <v>12.206206521427958</v>
      </c>
      <c r="H16" s="360">
        <f t="shared" si="1"/>
        <v>6.9925403397871566</v>
      </c>
      <c r="I16" s="361"/>
      <c r="J16" s="362"/>
      <c r="K16" s="363">
        <f>'App 4 - Recyclables'!F17</f>
        <v>451.3</v>
      </c>
      <c r="L16" s="364">
        <f t="shared" si="6"/>
        <v>3.1790645252183714</v>
      </c>
      <c r="M16" s="364">
        <f t="shared" si="7"/>
        <v>1.8211830920893834</v>
      </c>
      <c r="N16" s="357"/>
      <c r="O16" s="365">
        <f>'App 5 - Organics'!F16</f>
        <v>0</v>
      </c>
      <c r="P16" s="366"/>
      <c r="Q16" s="367"/>
      <c r="R16" s="368">
        <f>'App 5 - Organics'!J16</f>
        <v>0</v>
      </c>
      <c r="S16" s="369"/>
      <c r="T16" s="370"/>
      <c r="V16" s="371">
        <f>'App 1 - Services'!G16</f>
        <v>4379</v>
      </c>
      <c r="W16" s="372">
        <f>'App 1 - Services'!M16</f>
        <v>2687</v>
      </c>
      <c r="X16" s="373">
        <f>'App 1 - Services'!N16</f>
        <v>2730</v>
      </c>
      <c r="Y16" s="374">
        <v>0</v>
      </c>
      <c r="Z16" s="368">
        <v>0</v>
      </c>
      <c r="AA16" s="2">
        <v>1</v>
      </c>
      <c r="AB16" s="375">
        <f>'App 1 - Services'!F16</f>
        <v>7644</v>
      </c>
      <c r="AC16" s="372">
        <f t="shared" si="10"/>
        <v>4690.4379995432746</v>
      </c>
      <c r="AD16" s="373">
        <f t="shared" si="11"/>
        <v>4765.498972368121</v>
      </c>
      <c r="AE16" s="374">
        <f t="shared" si="12"/>
        <v>0</v>
      </c>
      <c r="AF16" s="368">
        <f t="shared" si="13"/>
        <v>0</v>
      </c>
      <c r="AG16" s="376"/>
      <c r="AH16" s="377">
        <f t="shared" si="3"/>
        <v>0</v>
      </c>
      <c r="AI16" s="377">
        <f t="shared" si="4"/>
        <v>0</v>
      </c>
      <c r="AJ16" s="377">
        <f t="shared" si="5"/>
        <v>0</v>
      </c>
      <c r="AK16" s="369"/>
      <c r="AL16" s="370"/>
    </row>
    <row r="17" spans="1:38" x14ac:dyDescent="0.2">
      <c r="A17" s="8">
        <v>10900</v>
      </c>
      <c r="B17" s="8" t="s">
        <v>80</v>
      </c>
      <c r="C17" s="8" t="s">
        <v>18</v>
      </c>
      <c r="D17" s="29" t="s">
        <v>3</v>
      </c>
      <c r="E17" s="357"/>
      <c r="F17" s="358">
        <f>'App 6 - Residual Waste'!F17</f>
        <v>17048.060000000001</v>
      </c>
      <c r="G17" s="359">
        <f t="shared" si="0"/>
        <v>9.662745960455883</v>
      </c>
      <c r="H17" s="360">
        <f t="shared" si="1"/>
        <v>4.4899262295665485</v>
      </c>
      <c r="I17" s="361"/>
      <c r="J17" s="362"/>
      <c r="K17" s="363">
        <f>'App 4 - Recyclables'!F18</f>
        <v>6541.59</v>
      </c>
      <c r="L17" s="364">
        <f t="shared" si="6"/>
        <v>3.7301647944346241</v>
      </c>
      <c r="M17" s="364">
        <f t="shared" si="7"/>
        <v>1.7332717655704111</v>
      </c>
      <c r="N17" s="357"/>
      <c r="O17" s="365">
        <f>'App 5 - Organics'!F17</f>
        <v>12315.79</v>
      </c>
      <c r="P17" s="366">
        <f t="shared" si="14"/>
        <v>2.3416097225232626</v>
      </c>
      <c r="Q17" s="367">
        <f t="shared" si="15"/>
        <v>1.0880607806095333</v>
      </c>
      <c r="R17" s="368">
        <f>'App 5 - Organics'!J17</f>
        <v>0</v>
      </c>
      <c r="S17" s="369"/>
      <c r="T17" s="370"/>
      <c r="V17" s="371">
        <f>'App 1 - Services'!G17</f>
        <v>36451</v>
      </c>
      <c r="W17" s="372">
        <f>'App 1 - Services'!M17</f>
        <v>33929</v>
      </c>
      <c r="X17" s="373">
        <f>'App 1 - Services'!N17</f>
        <v>33725</v>
      </c>
      <c r="Y17" s="374">
        <v>101145</v>
      </c>
      <c r="Z17" s="368">
        <v>0</v>
      </c>
      <c r="AB17" s="375">
        <f>'App 1 - Services'!F17</f>
        <v>78446</v>
      </c>
      <c r="AC17" s="372">
        <f t="shared" si="10"/>
        <v>73018.417437107346</v>
      </c>
      <c r="AD17" s="373">
        <f t="shared" si="11"/>
        <v>72579.390140188203</v>
      </c>
      <c r="AE17" s="374">
        <f t="shared" si="12"/>
        <v>217673.60758278234</v>
      </c>
      <c r="AF17" s="368">
        <f t="shared" si="13"/>
        <v>0</v>
      </c>
      <c r="AG17" s="376"/>
      <c r="AH17" s="377">
        <f t="shared" si="3"/>
        <v>101145</v>
      </c>
      <c r="AI17" s="377">
        <f t="shared" si="4"/>
        <v>217673.60758278234</v>
      </c>
      <c r="AJ17" s="377">
        <f t="shared" si="5"/>
        <v>12315.79</v>
      </c>
      <c r="AK17" s="369">
        <f>(AJ17*1000)/AE17/52</f>
        <v>1.0880607806095333</v>
      </c>
      <c r="AL17" s="370"/>
    </row>
    <row r="18" spans="1:38" x14ac:dyDescent="0.2">
      <c r="A18" s="8">
        <v>10950</v>
      </c>
      <c r="B18" s="8" t="s">
        <v>81</v>
      </c>
      <c r="C18" s="8" t="s">
        <v>38</v>
      </c>
      <c r="D18" s="29" t="s">
        <v>1</v>
      </c>
      <c r="E18" s="378"/>
      <c r="F18" s="358">
        <f>'App 6 - Residual Waste'!F18</f>
        <v>1042</v>
      </c>
      <c r="G18" s="359">
        <f t="shared" si="0"/>
        <v>19.304876241292426</v>
      </c>
      <c r="H18" s="360">
        <f t="shared" si="1"/>
        <v>17.047322532083435</v>
      </c>
      <c r="I18" s="361"/>
      <c r="J18" s="362"/>
      <c r="K18" s="363">
        <f>'App 4 - Recyclables'!F19</f>
        <v>92.5</v>
      </c>
      <c r="L18" s="364">
        <f t="shared" si="6"/>
        <v>1.9808977214322425</v>
      </c>
      <c r="M18" s="364">
        <f t="shared" si="7"/>
        <v>1.7492472854135135</v>
      </c>
      <c r="N18" s="357"/>
      <c r="O18" s="365">
        <f>'App 5 - Organics'!F18</f>
        <v>0</v>
      </c>
      <c r="P18" s="366"/>
      <c r="Q18" s="367"/>
      <c r="R18" s="368">
        <f>'App 5 - Organics'!J18</f>
        <v>0</v>
      </c>
      <c r="S18" s="369"/>
      <c r="T18" s="370"/>
      <c r="V18" s="371">
        <f>'App 1 - Services'!G18</f>
        <v>2137</v>
      </c>
      <c r="W18" s="372">
        <f>'App 1 - Services'!M18</f>
        <v>1038</v>
      </c>
      <c r="X18" s="373">
        <f>'App 1 - Services'!N18</f>
        <v>898</v>
      </c>
      <c r="Y18" s="374">
        <v>0</v>
      </c>
      <c r="Z18" s="368">
        <v>0</v>
      </c>
      <c r="AA18" s="2">
        <v>1</v>
      </c>
      <c r="AB18" s="375">
        <f>'App 1 - Services'!F18</f>
        <v>2420</v>
      </c>
      <c r="AC18" s="372">
        <f t="shared" si="10"/>
        <v>1175.4609265325223</v>
      </c>
      <c r="AD18" s="373">
        <f t="shared" si="11"/>
        <v>1016.9209171736078</v>
      </c>
      <c r="AE18" s="374">
        <f t="shared" si="12"/>
        <v>0</v>
      </c>
      <c r="AF18" s="368">
        <f t="shared" si="13"/>
        <v>0</v>
      </c>
      <c r="AG18" s="376"/>
      <c r="AH18" s="377">
        <f t="shared" si="3"/>
        <v>0</v>
      </c>
      <c r="AI18" s="377">
        <f t="shared" si="4"/>
        <v>0</v>
      </c>
      <c r="AJ18" s="377">
        <f t="shared" si="5"/>
        <v>0</v>
      </c>
      <c r="AK18" s="369"/>
      <c r="AL18" s="370"/>
    </row>
    <row r="19" spans="1:38" x14ac:dyDescent="0.2">
      <c r="A19" s="8">
        <v>11150</v>
      </c>
      <c r="B19" s="8" t="s">
        <v>82</v>
      </c>
      <c r="C19" s="8" t="s">
        <v>38</v>
      </c>
      <c r="D19" s="29" t="s">
        <v>1</v>
      </c>
      <c r="E19" s="357"/>
      <c r="F19" s="358">
        <f>'App 6 - Residual Waste'!F19</f>
        <v>920</v>
      </c>
      <c r="G19" s="359">
        <f t="shared" si="0"/>
        <v>18.372074446840802</v>
      </c>
      <c r="H19" s="360">
        <f t="shared" si="1"/>
        <v>7.9936002561518755</v>
      </c>
      <c r="I19" s="361"/>
      <c r="J19" s="362"/>
      <c r="K19" s="363">
        <f>'App 4 - Recyclables'!F20</f>
        <v>0</v>
      </c>
      <c r="L19" s="364"/>
      <c r="M19" s="364"/>
      <c r="N19" s="357"/>
      <c r="O19" s="365">
        <f>'App 5 - Organics'!F19</f>
        <v>0</v>
      </c>
      <c r="P19" s="366"/>
      <c r="Q19" s="367"/>
      <c r="R19" s="368">
        <f>'App 5 - Organics'!J19</f>
        <v>0</v>
      </c>
      <c r="S19" s="369"/>
      <c r="T19" s="370"/>
      <c r="V19" s="371">
        <f>'App 1 - Services'!G19</f>
        <v>1029</v>
      </c>
      <c r="W19" s="372">
        <f>'App 1 - Services'!M19</f>
        <v>963</v>
      </c>
      <c r="X19" s="373">
        <f>'App 1 - Services'!N19</f>
        <v>0</v>
      </c>
      <c r="Y19" s="374">
        <v>0</v>
      </c>
      <c r="Z19" s="368">
        <v>0</v>
      </c>
      <c r="AA19" s="2">
        <v>1</v>
      </c>
      <c r="AB19" s="375">
        <f>'App 1 - Services'!F19</f>
        <v>2365</v>
      </c>
      <c r="AC19" s="372">
        <f t="shared" si="10"/>
        <v>2213.3090379008745</v>
      </c>
      <c r="AD19" s="373">
        <f t="shared" si="11"/>
        <v>0</v>
      </c>
      <c r="AE19" s="374">
        <f t="shared" si="12"/>
        <v>0</v>
      </c>
      <c r="AF19" s="368">
        <f t="shared" si="13"/>
        <v>0</v>
      </c>
      <c r="AG19" s="376"/>
      <c r="AH19" s="377">
        <f t="shared" si="3"/>
        <v>0</v>
      </c>
      <c r="AI19" s="377">
        <f t="shared" si="4"/>
        <v>0</v>
      </c>
      <c r="AJ19" s="377">
        <f t="shared" si="5"/>
        <v>0</v>
      </c>
      <c r="AK19" s="369"/>
      <c r="AL19" s="370"/>
    </row>
    <row r="20" spans="1:38" x14ac:dyDescent="0.2">
      <c r="A20" s="8">
        <v>11200</v>
      </c>
      <c r="B20" s="8" t="s">
        <v>83</v>
      </c>
      <c r="C20" s="8" t="s">
        <v>38</v>
      </c>
      <c r="D20" s="29" t="s">
        <v>1</v>
      </c>
      <c r="E20" s="357"/>
      <c r="F20" s="358">
        <f>'App 6 - Residual Waste'!F20</f>
        <v>550</v>
      </c>
      <c r="G20" s="359">
        <f t="shared" si="0"/>
        <v>22.94343400634073</v>
      </c>
      <c r="H20" s="360">
        <f t="shared" si="1"/>
        <v>11.935138597203469</v>
      </c>
      <c r="I20" s="361"/>
      <c r="J20" s="362"/>
      <c r="K20" s="363">
        <f>'App 4 - Recyclables'!F21</f>
        <v>0</v>
      </c>
      <c r="L20" s="364"/>
      <c r="M20" s="364"/>
      <c r="N20" s="357"/>
      <c r="O20" s="365">
        <f>'App 5 - Organics'!F20</f>
        <v>0</v>
      </c>
      <c r="P20" s="366"/>
      <c r="Q20" s="367"/>
      <c r="R20" s="368">
        <f>'App 5 - Organics'!J20</f>
        <v>0</v>
      </c>
      <c r="S20" s="369"/>
      <c r="T20" s="370"/>
      <c r="V20" s="371">
        <f>'App 1 - Services'!G20</f>
        <v>734</v>
      </c>
      <c r="W20" s="372">
        <f>'App 1 - Services'!M20</f>
        <v>461</v>
      </c>
      <c r="X20" s="373">
        <f>'App 1 - Services'!N20</f>
        <v>0</v>
      </c>
      <c r="Y20" s="374">
        <v>0</v>
      </c>
      <c r="Z20" s="368">
        <v>0</v>
      </c>
      <c r="AA20" s="2">
        <v>1</v>
      </c>
      <c r="AB20" s="375">
        <f>'App 1 - Services'!F20</f>
        <v>1411</v>
      </c>
      <c r="AC20" s="372">
        <f t="shared" si="10"/>
        <v>886.20027247956409</v>
      </c>
      <c r="AD20" s="373">
        <f t="shared" si="11"/>
        <v>0</v>
      </c>
      <c r="AE20" s="374">
        <f t="shared" si="12"/>
        <v>0</v>
      </c>
      <c r="AF20" s="368">
        <f t="shared" si="13"/>
        <v>0</v>
      </c>
      <c r="AG20" s="376"/>
      <c r="AH20" s="377">
        <f t="shared" si="3"/>
        <v>0</v>
      </c>
      <c r="AI20" s="377">
        <f t="shared" si="4"/>
        <v>0</v>
      </c>
      <c r="AJ20" s="377">
        <f t="shared" si="5"/>
        <v>0</v>
      </c>
      <c r="AK20" s="369"/>
      <c r="AL20" s="370"/>
    </row>
    <row r="21" spans="1:38" x14ac:dyDescent="0.2">
      <c r="A21" s="8">
        <v>11250</v>
      </c>
      <c r="B21" s="8" t="s">
        <v>84</v>
      </c>
      <c r="C21" s="8" t="s">
        <v>38</v>
      </c>
      <c r="D21" s="29" t="s">
        <v>1</v>
      </c>
      <c r="E21" s="357"/>
      <c r="F21" s="358">
        <f>'App 6 - Residual Waste'!F21</f>
        <v>7751.26</v>
      </c>
      <c r="G21" s="359">
        <f t="shared" si="0"/>
        <v>14.880971579084786</v>
      </c>
      <c r="H21" s="360">
        <f t="shared" si="1"/>
        <v>8.931622637514689</v>
      </c>
      <c r="I21" s="361"/>
      <c r="J21" s="362"/>
      <c r="K21" s="363">
        <f>'App 4 - Recyclables'!F22</f>
        <v>0</v>
      </c>
      <c r="L21" s="364"/>
      <c r="M21" s="364"/>
      <c r="N21" s="357"/>
      <c r="O21" s="365">
        <f>'App 5 - Organics'!F21</f>
        <v>0</v>
      </c>
      <c r="P21" s="366"/>
      <c r="Q21" s="367"/>
      <c r="R21" s="368">
        <f>'App 5 - Organics'!J21</f>
        <v>1697.33</v>
      </c>
      <c r="S21" s="369">
        <f>(R21*1000)/Z21/52</f>
        <v>3.3810815763892208</v>
      </c>
      <c r="T21" s="370">
        <f t="shared" si="9"/>
        <v>2.0293395889154096</v>
      </c>
      <c r="V21" s="371">
        <f>'App 1 - Services'!G21</f>
        <v>10578</v>
      </c>
      <c r="W21" s="372">
        <f>'App 1 - Services'!M21</f>
        <v>10017</v>
      </c>
      <c r="X21" s="373">
        <f>'App 1 - Services'!N21</f>
        <v>0</v>
      </c>
      <c r="Y21" s="374">
        <v>0</v>
      </c>
      <c r="Z21" s="368">
        <v>9654</v>
      </c>
      <c r="AB21" s="375">
        <f>'App 1 - Services'!F21</f>
        <v>17624</v>
      </c>
      <c r="AC21" s="372">
        <f t="shared" si="10"/>
        <v>16689.318207600681</v>
      </c>
      <c r="AD21" s="373">
        <f t="shared" si="11"/>
        <v>0</v>
      </c>
      <c r="AE21" s="374">
        <f t="shared" si="12"/>
        <v>0</v>
      </c>
      <c r="AF21" s="368">
        <f t="shared" si="13"/>
        <v>16084.524106636414</v>
      </c>
      <c r="AG21" s="376" t="s">
        <v>13</v>
      </c>
      <c r="AH21" s="377">
        <f t="shared" si="3"/>
        <v>9654</v>
      </c>
      <c r="AI21" s="377">
        <f t="shared" si="4"/>
        <v>16084.524106636414</v>
      </c>
      <c r="AJ21" s="377">
        <f t="shared" si="5"/>
        <v>1697.33</v>
      </c>
      <c r="AK21" s="369"/>
      <c r="AL21" s="370">
        <f>(AJ21*1000)/AF21/52</f>
        <v>2.0293395889154096</v>
      </c>
    </row>
    <row r="22" spans="1:38" x14ac:dyDescent="0.2">
      <c r="A22" s="8">
        <v>11300</v>
      </c>
      <c r="B22" s="8" t="s">
        <v>85</v>
      </c>
      <c r="C22" s="8" t="s">
        <v>17</v>
      </c>
      <c r="D22" s="29" t="s">
        <v>2</v>
      </c>
      <c r="E22" s="357"/>
      <c r="F22" s="358">
        <f>'App 6 - Residual Waste'!F22</f>
        <v>8368.4599999999991</v>
      </c>
      <c r="G22" s="359">
        <f t="shared" si="0"/>
        <v>10.821862892671849</v>
      </c>
      <c r="H22" s="360">
        <f t="shared" si="1"/>
        <v>3.80794714332474</v>
      </c>
      <c r="I22" s="361"/>
      <c r="J22" s="362"/>
      <c r="K22" s="363">
        <f>'App 4 - Recyclables'!F23</f>
        <v>1979.79</v>
      </c>
      <c r="L22" s="364">
        <f t="shared" si="6"/>
        <v>2.5605544835150056</v>
      </c>
      <c r="M22" s="364">
        <f t="shared" si="7"/>
        <v>0.90099608796845476</v>
      </c>
      <c r="N22" s="357"/>
      <c r="O22" s="365">
        <f>'App 5 - Organics'!F22</f>
        <v>2189.48</v>
      </c>
      <c r="P22" s="366">
        <f t="shared" si="14"/>
        <v>2.9632897892451697</v>
      </c>
      <c r="Q22" s="367">
        <f t="shared" si="15"/>
        <v>1.0427087276665317</v>
      </c>
      <c r="R22" s="368">
        <f>'App 5 - Organics'!J22</f>
        <v>302.89999999999998</v>
      </c>
      <c r="S22" s="369"/>
      <c r="T22" s="370"/>
      <c r="U22">
        <v>1</v>
      </c>
      <c r="V22" s="371">
        <f>'App 1 - Services'!G22</f>
        <v>14954</v>
      </c>
      <c r="W22" s="372">
        <f>'App 1 - Services'!M22</f>
        <v>14871</v>
      </c>
      <c r="X22" s="373">
        <f>'App 1 - Services'!N22</f>
        <v>14869</v>
      </c>
      <c r="Y22" s="374">
        <v>14209</v>
      </c>
      <c r="Z22" s="368">
        <v>660</v>
      </c>
      <c r="AA22" s="637" t="s">
        <v>476</v>
      </c>
      <c r="AB22" s="375">
        <f>'App 1 - Services'!F22</f>
        <v>42498</v>
      </c>
      <c r="AC22" s="372">
        <f t="shared" si="10"/>
        <v>42262.121037849407</v>
      </c>
      <c r="AD22" s="373">
        <f t="shared" si="11"/>
        <v>42256.437207436138</v>
      </c>
      <c r="AE22" s="374">
        <f t="shared" si="12"/>
        <v>40380.77317105791</v>
      </c>
      <c r="AF22" s="368">
        <f t="shared" si="13"/>
        <v>1875.6640363782267</v>
      </c>
      <c r="AG22" s="376"/>
      <c r="AH22" s="377">
        <f t="shared" si="3"/>
        <v>14869</v>
      </c>
      <c r="AI22" s="377">
        <f t="shared" si="4"/>
        <v>42256.437207436138</v>
      </c>
      <c r="AJ22" s="377">
        <f t="shared" si="5"/>
        <v>2492.38</v>
      </c>
      <c r="AK22" s="369">
        <f>(AJ22*1000)/AE22/52</f>
        <v>1.1869605470986309</v>
      </c>
      <c r="AL22" s="370"/>
    </row>
    <row r="23" spans="1:38" x14ac:dyDescent="0.2">
      <c r="A23" s="8">
        <v>11350</v>
      </c>
      <c r="B23" s="8" t="s">
        <v>86</v>
      </c>
      <c r="C23" s="8" t="s">
        <v>19</v>
      </c>
      <c r="D23" s="29" t="s">
        <v>3</v>
      </c>
      <c r="E23" s="357"/>
      <c r="F23" s="358">
        <f>'App 6 - Residual Waste'!F23</f>
        <v>5830</v>
      </c>
      <c r="G23" s="359">
        <f t="shared" si="0"/>
        <v>7.415038665038665</v>
      </c>
      <c r="H23" s="360">
        <f t="shared" si="1"/>
        <v>2.9393719774113571</v>
      </c>
      <c r="I23" s="361"/>
      <c r="J23" s="362"/>
      <c r="K23" s="363">
        <f>'App 4 - Recyclables'!F24</f>
        <v>4601</v>
      </c>
      <c r="L23" s="364">
        <f t="shared" si="6"/>
        <v>6.1689164910248362</v>
      </c>
      <c r="M23" s="364">
        <f t="shared" si="7"/>
        <v>2.4454006356303539</v>
      </c>
      <c r="N23" s="357"/>
      <c r="O23" s="365">
        <f>'App 5 - Organics'!F23</f>
        <v>0</v>
      </c>
      <c r="P23" s="366"/>
      <c r="Q23" s="367"/>
      <c r="R23" s="368">
        <f>'App 5 - Organics'!J23</f>
        <v>5616</v>
      </c>
      <c r="S23" s="369">
        <f t="shared" si="8"/>
        <v>9.2903225806451619</v>
      </c>
      <c r="T23" s="370">
        <f t="shared" si="9"/>
        <v>3.6827473312329597</v>
      </c>
      <c r="V23" s="371">
        <f>'App 1 - Services'!G23</f>
        <v>14717</v>
      </c>
      <c r="W23" s="372">
        <f>'App 1 - Services'!M23</f>
        <v>15120</v>
      </c>
      <c r="X23" s="373">
        <f>'App 1 - Services'!N23</f>
        <v>14343</v>
      </c>
      <c r="Y23" s="374">
        <v>0</v>
      </c>
      <c r="Z23" s="368">
        <v>11625</v>
      </c>
      <c r="AB23" s="375">
        <f>'App 1 - Services'!F23</f>
        <v>37126</v>
      </c>
      <c r="AC23" s="372">
        <f t="shared" si="10"/>
        <v>38142.632329958549</v>
      </c>
      <c r="AD23" s="373">
        <f t="shared" si="11"/>
        <v>36182.524835224569</v>
      </c>
      <c r="AE23" s="374">
        <f t="shared" si="12"/>
        <v>0</v>
      </c>
      <c r="AF23" s="368">
        <f t="shared" si="13"/>
        <v>29325.932594958209</v>
      </c>
      <c r="AG23" s="376" t="s">
        <v>13</v>
      </c>
      <c r="AH23" s="377">
        <f t="shared" si="3"/>
        <v>11625</v>
      </c>
      <c r="AI23" s="377">
        <f t="shared" si="4"/>
        <v>29325.932594958209</v>
      </c>
      <c r="AJ23" s="377">
        <f t="shared" si="5"/>
        <v>5616</v>
      </c>
      <c r="AK23" s="369"/>
      <c r="AL23" s="370">
        <f>(AJ23*1000)/AF23/52</f>
        <v>3.6827473312329597</v>
      </c>
    </row>
    <row r="24" spans="1:38" x14ac:dyDescent="0.2">
      <c r="A24" s="8">
        <v>11400</v>
      </c>
      <c r="B24" s="8" t="s">
        <v>87</v>
      </c>
      <c r="C24" s="8" t="s">
        <v>38</v>
      </c>
      <c r="D24" s="29" t="s">
        <v>1</v>
      </c>
      <c r="E24" s="357"/>
      <c r="F24" s="358">
        <f>'App 6 - Residual Waste'!F24</f>
        <v>2280.41</v>
      </c>
      <c r="G24" s="359">
        <f t="shared" si="0"/>
        <v>11.641634845112414</v>
      </c>
      <c r="H24" s="360">
        <f t="shared" si="1"/>
        <v>6.2494107515081119</v>
      </c>
      <c r="I24" s="361"/>
      <c r="J24" s="362"/>
      <c r="K24" s="363">
        <f>'App 4 - Recyclables'!F25</f>
        <v>587.41</v>
      </c>
      <c r="L24" s="364">
        <f t="shared" si="6"/>
        <v>2.9987645749525234</v>
      </c>
      <c r="M24" s="364">
        <f t="shared" si="7"/>
        <v>1.6097834904878421</v>
      </c>
      <c r="N24" s="357"/>
      <c r="O24" s="365">
        <f>'App 5 - Organics'!F24</f>
        <v>0</v>
      </c>
      <c r="P24" s="366"/>
      <c r="Q24" s="367"/>
      <c r="R24" s="368">
        <f>'App 5 - Organics'!J24</f>
        <v>0</v>
      </c>
      <c r="S24" s="369"/>
      <c r="T24" s="370"/>
      <c r="V24" s="371">
        <f>'App 1 - Services'!G24</f>
        <v>7451</v>
      </c>
      <c r="W24" s="372">
        <f>'App 1 - Services'!M24</f>
        <v>3767</v>
      </c>
      <c r="X24" s="373">
        <f>'App 1 - Services'!N24</f>
        <v>3767</v>
      </c>
      <c r="Y24" s="374">
        <v>0</v>
      </c>
      <c r="Z24" s="368">
        <v>0</v>
      </c>
      <c r="AA24" s="2">
        <v>1</v>
      </c>
      <c r="AB24" s="375">
        <f>'App 1 - Services'!F24</f>
        <v>13880</v>
      </c>
      <c r="AC24" s="372">
        <f t="shared" si="10"/>
        <v>7017.30774392699</v>
      </c>
      <c r="AD24" s="373">
        <f t="shared" si="11"/>
        <v>7017.30774392699</v>
      </c>
      <c r="AE24" s="374">
        <f t="shared" si="12"/>
        <v>0</v>
      </c>
      <c r="AF24" s="368">
        <f t="shared" si="13"/>
        <v>0</v>
      </c>
      <c r="AG24" s="376"/>
      <c r="AH24" s="377">
        <f t="shared" si="3"/>
        <v>0</v>
      </c>
      <c r="AI24" s="377">
        <f t="shared" si="4"/>
        <v>0</v>
      </c>
      <c r="AJ24" s="377">
        <f t="shared" si="5"/>
        <v>0</v>
      </c>
      <c r="AK24" s="369"/>
      <c r="AL24" s="370"/>
    </row>
    <row r="25" spans="1:38" x14ac:dyDescent="0.2">
      <c r="A25" s="8">
        <v>11450</v>
      </c>
      <c r="B25" s="8" t="s">
        <v>69</v>
      </c>
      <c r="C25" s="8" t="s">
        <v>182</v>
      </c>
      <c r="D25" s="29" t="s">
        <v>2</v>
      </c>
      <c r="E25" s="357"/>
      <c r="F25" s="358">
        <f>'App 6 - Residual Waste'!F25</f>
        <v>27503.599999999999</v>
      </c>
      <c r="G25" s="359">
        <f t="shared" si="0"/>
        <v>12.989719156524993</v>
      </c>
      <c r="H25" s="360">
        <f t="shared" si="1"/>
        <v>4.2957967017183591</v>
      </c>
      <c r="I25" s="361"/>
      <c r="J25" s="362"/>
      <c r="K25" s="363">
        <f>'App 4 - Recyclables'!F26</f>
        <v>10838.62</v>
      </c>
      <c r="L25" s="364">
        <f t="shared" si="6"/>
        <v>5.193865091824275</v>
      </c>
      <c r="M25" s="364">
        <f t="shared" si="7"/>
        <v>1.7176498014909889</v>
      </c>
      <c r="N25" s="357"/>
      <c r="O25" s="365">
        <f>'App 5 - Organics'!F25</f>
        <v>12607.26</v>
      </c>
      <c r="P25" s="366">
        <f t="shared" si="14"/>
        <v>6.3882616908807881</v>
      </c>
      <c r="Q25" s="367">
        <f t="shared" si="15"/>
        <v>2.1126456369624007</v>
      </c>
      <c r="R25" s="368">
        <f>'App 5 - Organics'!J25</f>
        <v>0</v>
      </c>
      <c r="S25" s="369"/>
      <c r="T25" s="370"/>
      <c r="V25" s="371">
        <f>'App 1 - Services'!G25</f>
        <v>44583</v>
      </c>
      <c r="W25" s="372">
        <f>'App 1 - Services'!M25</f>
        <v>40718</v>
      </c>
      <c r="X25" s="373">
        <f>'App 1 - Services'!N25</f>
        <v>40131</v>
      </c>
      <c r="Y25" s="374">
        <v>37952</v>
      </c>
      <c r="Z25" s="368">
        <v>0</v>
      </c>
      <c r="AB25" s="375">
        <f>'App 1 - Services'!F25</f>
        <v>134811</v>
      </c>
      <c r="AC25" s="372">
        <f t="shared" si="10"/>
        <v>123123.93284435771</v>
      </c>
      <c r="AD25" s="373">
        <f t="shared" si="11"/>
        <v>121348.95007065473</v>
      </c>
      <c r="AE25" s="374">
        <f t="shared" si="12"/>
        <v>114760.0446807079</v>
      </c>
      <c r="AF25" s="368">
        <f t="shared" si="13"/>
        <v>0</v>
      </c>
      <c r="AG25" s="376"/>
      <c r="AH25" s="377">
        <f t="shared" si="3"/>
        <v>37952</v>
      </c>
      <c r="AI25" s="377">
        <f t="shared" si="4"/>
        <v>114760.0446807079</v>
      </c>
      <c r="AJ25" s="377">
        <f t="shared" si="5"/>
        <v>12607.26</v>
      </c>
      <c r="AK25" s="369">
        <f>(AJ25*1000)/AE25/52</f>
        <v>2.1126456369624007</v>
      </c>
      <c r="AL25" s="370"/>
    </row>
    <row r="26" spans="1:38" x14ac:dyDescent="0.2">
      <c r="A26" s="8">
        <v>11500</v>
      </c>
      <c r="B26" s="8" t="s">
        <v>46</v>
      </c>
      <c r="C26" s="8" t="s">
        <v>182</v>
      </c>
      <c r="D26" s="29" t="s">
        <v>2</v>
      </c>
      <c r="E26" s="379"/>
      <c r="F26" s="358">
        <f>'App 6 - Residual Waste'!F26</f>
        <v>38135.54</v>
      </c>
      <c r="G26" s="359">
        <f t="shared" si="0"/>
        <v>12.162118892715908</v>
      </c>
      <c r="H26" s="360">
        <f t="shared" si="1"/>
        <v>4.1090196254667832</v>
      </c>
      <c r="I26" s="361"/>
      <c r="J26" s="362"/>
      <c r="K26" s="363">
        <f>'App 4 - Recyclables'!F27</f>
        <v>11434.42</v>
      </c>
      <c r="L26" s="364">
        <f t="shared" si="6"/>
        <v>3.6703837807994044</v>
      </c>
      <c r="M26" s="364">
        <f t="shared" si="7"/>
        <v>1.2400535730112283</v>
      </c>
      <c r="N26" s="357"/>
      <c r="O26" s="365">
        <f>'App 5 - Organics'!F26</f>
        <v>17808.099999999999</v>
      </c>
      <c r="P26" s="366">
        <f t="shared" si="14"/>
        <v>5.9389473768462393</v>
      </c>
      <c r="Q26" s="367">
        <f t="shared" si="15"/>
        <v>2.0064966920107299</v>
      </c>
      <c r="R26" s="368">
        <f>'App 5 - Organics'!J26</f>
        <v>0</v>
      </c>
      <c r="S26" s="369"/>
      <c r="T26" s="370"/>
      <c r="V26" s="371">
        <f>'App 1 - Services'!G26</f>
        <v>62430</v>
      </c>
      <c r="W26" s="372">
        <f>'App 1 - Services'!M26</f>
        <v>60300</v>
      </c>
      <c r="X26" s="373">
        <f>'App 1 - Services'!N26</f>
        <v>59910</v>
      </c>
      <c r="Y26" s="374">
        <v>57664</v>
      </c>
      <c r="Z26" s="368">
        <v>0</v>
      </c>
      <c r="AB26" s="375">
        <f>'App 1 - Services'!F26</f>
        <v>184784</v>
      </c>
      <c r="AC26" s="372">
        <f t="shared" si="10"/>
        <v>178479.50024026912</v>
      </c>
      <c r="AD26" s="373">
        <f t="shared" si="11"/>
        <v>177325.15521383949</v>
      </c>
      <c r="AE26" s="374">
        <f t="shared" si="12"/>
        <v>170677.31180522186</v>
      </c>
      <c r="AF26" s="368">
        <f t="shared" si="13"/>
        <v>0</v>
      </c>
      <c r="AG26" s="376"/>
      <c r="AH26" s="377">
        <f t="shared" si="3"/>
        <v>57664</v>
      </c>
      <c r="AI26" s="377">
        <f t="shared" si="4"/>
        <v>170677.31180522186</v>
      </c>
      <c r="AJ26" s="377">
        <f t="shared" si="5"/>
        <v>17808.099999999999</v>
      </c>
      <c r="AK26" s="369">
        <f>(AJ26*1000)/AE26/52</f>
        <v>2.0064966920107299</v>
      </c>
      <c r="AL26" s="370"/>
    </row>
    <row r="27" spans="1:38" x14ac:dyDescent="0.2">
      <c r="A27" s="8">
        <v>11520</v>
      </c>
      <c r="B27" s="8" t="s">
        <v>88</v>
      </c>
      <c r="C27" s="8" t="s">
        <v>17</v>
      </c>
      <c r="D27" s="29" t="s">
        <v>2</v>
      </c>
      <c r="E27" s="380"/>
      <c r="F27" s="358">
        <f>'App 6 - Residual Waste'!F27</f>
        <v>18866</v>
      </c>
      <c r="G27" s="359">
        <f t="shared" si="0"/>
        <v>9.4441819113830778</v>
      </c>
      <c r="H27" s="360">
        <f t="shared" si="1"/>
        <v>3.9686543060779447</v>
      </c>
      <c r="I27" s="361"/>
      <c r="J27" s="362"/>
      <c r="K27" s="363">
        <f>'App 4 - Recyclables'!F28</f>
        <v>6375</v>
      </c>
      <c r="L27" s="364">
        <f t="shared" si="6"/>
        <v>3.1746679919764316</v>
      </c>
      <c r="M27" s="364">
        <f t="shared" si="7"/>
        <v>1.3340657682100883</v>
      </c>
      <c r="N27" s="357"/>
      <c r="O27" s="365">
        <f>'App 5 - Organics'!F27</f>
        <v>5105</v>
      </c>
      <c r="P27" s="366">
        <f t="shared" si="14"/>
        <v>2.5564573960490837</v>
      </c>
      <c r="Q27" s="367">
        <f t="shared" si="15"/>
        <v>1.0742799904040807</v>
      </c>
      <c r="R27" s="368">
        <f>'App 5 - Organics'!J27</f>
        <v>36</v>
      </c>
      <c r="S27" s="369"/>
      <c r="T27" s="370"/>
      <c r="U27">
        <v>1</v>
      </c>
      <c r="V27" s="371">
        <f>'App 1 - Services'!G27</f>
        <v>38402</v>
      </c>
      <c r="W27" s="372">
        <f>'App 1 - Services'!M27</f>
        <v>38416</v>
      </c>
      <c r="X27" s="373">
        <f>'App 1 - Services'!N27</f>
        <v>38617</v>
      </c>
      <c r="Y27" s="374">
        <v>38402</v>
      </c>
      <c r="Z27" s="368">
        <v>0</v>
      </c>
      <c r="AB27" s="375">
        <f>'App 1 - Services'!F27</f>
        <v>91385</v>
      </c>
      <c r="AC27" s="372">
        <f t="shared" si="10"/>
        <v>91418.315712723284</v>
      </c>
      <c r="AD27" s="373">
        <f t="shared" si="11"/>
        <v>91896.634159679175</v>
      </c>
      <c r="AE27" s="374">
        <f t="shared" si="12"/>
        <v>91385</v>
      </c>
      <c r="AF27" s="368">
        <f t="shared" si="13"/>
        <v>0</v>
      </c>
      <c r="AG27" s="376"/>
      <c r="AH27" s="377">
        <f t="shared" si="3"/>
        <v>38402</v>
      </c>
      <c r="AI27" s="377">
        <f t="shared" si="4"/>
        <v>91385</v>
      </c>
      <c r="AJ27" s="377">
        <f t="shared" si="5"/>
        <v>5141</v>
      </c>
      <c r="AK27" s="369">
        <f>(AJ27*1000)/AE27/52</f>
        <v>1.0818557160954709</v>
      </c>
      <c r="AL27" s="370"/>
    </row>
    <row r="28" spans="1:38" x14ac:dyDescent="0.2">
      <c r="A28" s="8">
        <v>11570</v>
      </c>
      <c r="B28" s="8" t="s">
        <v>89</v>
      </c>
      <c r="C28" s="8" t="s">
        <v>17</v>
      </c>
      <c r="D28" s="29" t="s">
        <v>2</v>
      </c>
      <c r="E28" s="381"/>
      <c r="F28" s="358">
        <f>'App 6 - Residual Waste'!F28</f>
        <v>86358</v>
      </c>
      <c r="G28" s="359">
        <f t="shared" si="0"/>
        <v>12.215387331235339</v>
      </c>
      <c r="H28" s="360">
        <f t="shared" si="1"/>
        <v>4.3839536724280572</v>
      </c>
      <c r="I28" s="361"/>
      <c r="J28" s="362"/>
      <c r="K28" s="363">
        <f>'App 4 - Recyclables'!F29</f>
        <v>20770</v>
      </c>
      <c r="L28" s="364">
        <f t="shared" si="6"/>
        <v>2.9379281001153106</v>
      </c>
      <c r="M28" s="364">
        <f t="shared" si="7"/>
        <v>1.0543865973775532</v>
      </c>
      <c r="N28" s="357"/>
      <c r="O28" s="365">
        <f>'App 5 - Organics'!F28</f>
        <v>31723.02</v>
      </c>
      <c r="P28" s="366">
        <f t="shared" si="14"/>
        <v>4.5204890327302412</v>
      </c>
      <c r="Q28" s="367">
        <f t="shared" si="15"/>
        <v>1.6223484330729234</v>
      </c>
      <c r="R28" s="368">
        <f>'App 5 - Organics'!J28</f>
        <v>0</v>
      </c>
      <c r="S28" s="369"/>
      <c r="T28" s="370"/>
      <c r="V28" s="371">
        <f>'App 1 - Services'!G28</f>
        <v>136316</v>
      </c>
      <c r="W28" s="372">
        <f>'App 1 - Services'!M28</f>
        <v>135954</v>
      </c>
      <c r="X28" s="373">
        <f>'App 1 - Services'!N28</f>
        <v>135954</v>
      </c>
      <c r="Y28" s="374">
        <v>134954</v>
      </c>
      <c r="Z28" s="368">
        <v>0</v>
      </c>
      <c r="AB28" s="375">
        <f>'App 1 - Services'!F28</f>
        <v>379829</v>
      </c>
      <c r="AC28" s="372">
        <f t="shared" si="10"/>
        <v>378820.32825200271</v>
      </c>
      <c r="AD28" s="373">
        <f t="shared" si="11"/>
        <v>378820.32825200271</v>
      </c>
      <c r="AE28" s="374">
        <f t="shared" si="12"/>
        <v>376033.94220781128</v>
      </c>
      <c r="AF28" s="368">
        <f t="shared" si="13"/>
        <v>0</v>
      </c>
      <c r="AG28" s="376"/>
      <c r="AH28" s="377">
        <f t="shared" si="3"/>
        <v>134954</v>
      </c>
      <c r="AI28" s="377">
        <f t="shared" si="4"/>
        <v>376033.94220781128</v>
      </c>
      <c r="AJ28" s="377">
        <f t="shared" si="5"/>
        <v>31723.02</v>
      </c>
      <c r="AK28" s="369">
        <f>(AJ28*1000)/AE28/52</f>
        <v>1.6223484330729234</v>
      </c>
      <c r="AL28" s="370"/>
    </row>
    <row r="29" spans="1:38" x14ac:dyDescent="0.2">
      <c r="A29" s="8">
        <v>11600</v>
      </c>
      <c r="B29" s="8" t="s">
        <v>90</v>
      </c>
      <c r="C29" s="8" t="s">
        <v>68</v>
      </c>
      <c r="D29" s="29" t="s">
        <v>1</v>
      </c>
      <c r="E29" s="381"/>
      <c r="F29" s="358">
        <f>'App 6 - Residual Waste'!F29</f>
        <v>754</v>
      </c>
      <c r="G29" s="359">
        <f t="shared" si="0"/>
        <v>24.04643449419569</v>
      </c>
      <c r="H29" s="360">
        <f t="shared" si="1"/>
        <v>11.923204951733197</v>
      </c>
      <c r="I29" s="361"/>
      <c r="J29" s="362"/>
      <c r="K29" s="363">
        <f>'App 4 - Recyclables'!F30</f>
        <v>0</v>
      </c>
      <c r="L29" s="364"/>
      <c r="M29" s="364"/>
      <c r="N29" s="357"/>
      <c r="O29" s="365">
        <f>'App 5 - Organics'!F29</f>
        <v>0</v>
      </c>
      <c r="P29" s="366"/>
      <c r="Q29" s="367"/>
      <c r="R29" s="368">
        <f>'App 5 - Organics'!J29</f>
        <v>0</v>
      </c>
      <c r="S29" s="369"/>
      <c r="T29" s="370"/>
      <c r="V29" s="371">
        <f>'App 1 - Services'!G29</f>
        <v>1371</v>
      </c>
      <c r="W29" s="372">
        <f>'App 1 - Services'!M29</f>
        <v>603</v>
      </c>
      <c r="X29" s="373">
        <f>'App 1 - Services'!N29</f>
        <v>0</v>
      </c>
      <c r="Y29" s="374">
        <v>0</v>
      </c>
      <c r="Z29" s="368">
        <v>0</v>
      </c>
      <c r="AA29" s="2">
        <v>1</v>
      </c>
      <c r="AB29" s="375">
        <f>'App 1 - Services'!F29</f>
        <v>2765</v>
      </c>
      <c r="AC29" s="372">
        <f t="shared" si="10"/>
        <v>1216.1159737417943</v>
      </c>
      <c r="AD29" s="373">
        <f t="shared" si="11"/>
        <v>0</v>
      </c>
      <c r="AE29" s="374">
        <f t="shared" si="12"/>
        <v>0</v>
      </c>
      <c r="AF29" s="368">
        <f t="shared" si="13"/>
        <v>0</v>
      </c>
      <c r="AG29" s="376"/>
      <c r="AH29" s="377">
        <f t="shared" si="3"/>
        <v>0</v>
      </c>
      <c r="AI29" s="377">
        <f t="shared" si="4"/>
        <v>0</v>
      </c>
      <c r="AJ29" s="377">
        <f t="shared" si="5"/>
        <v>0</v>
      </c>
      <c r="AK29" s="369"/>
      <c r="AL29" s="370"/>
    </row>
    <row r="30" spans="1:38" x14ac:dyDescent="0.2">
      <c r="A30" s="8">
        <v>11650</v>
      </c>
      <c r="B30" s="8" t="s">
        <v>91</v>
      </c>
      <c r="C30" s="8" t="s">
        <v>23</v>
      </c>
      <c r="D30" s="29" t="s">
        <v>2</v>
      </c>
      <c r="E30" s="381"/>
      <c r="F30" s="358">
        <f>'App 6 - Residual Waste'!F30</f>
        <v>79763</v>
      </c>
      <c r="G30" s="359">
        <f t="shared" si="0"/>
        <v>11.833577730447884</v>
      </c>
      <c r="H30" s="360">
        <f t="shared" si="1"/>
        <v>5.0681756742249373</v>
      </c>
      <c r="I30" s="361"/>
      <c r="J30" s="362"/>
      <c r="K30" s="363">
        <f>'App 4 - Recyclables'!F31</f>
        <v>26753</v>
      </c>
      <c r="L30" s="364">
        <f t="shared" si="6"/>
        <v>3.9561445121785308</v>
      </c>
      <c r="M30" s="364">
        <f t="shared" si="7"/>
        <v>1.6943679956359938</v>
      </c>
      <c r="N30" s="357"/>
      <c r="O30" s="365">
        <f>'App 5 - Organics'!F30</f>
        <v>38772</v>
      </c>
      <c r="P30" s="366">
        <f t="shared" si="14"/>
        <v>5.9054434504897433</v>
      </c>
      <c r="Q30" s="367">
        <f t="shared" si="15"/>
        <v>2.5292287356404008</v>
      </c>
      <c r="R30" s="368">
        <f>'App 5 - Organics'!J30</f>
        <v>0</v>
      </c>
      <c r="S30" s="369"/>
      <c r="T30" s="370"/>
      <c r="V30" s="371">
        <f>'App 1 - Services'!G30</f>
        <v>150729</v>
      </c>
      <c r="W30" s="372">
        <f>'App 1 - Services'!M30</f>
        <v>129623</v>
      </c>
      <c r="X30" s="373">
        <f>'App 1 - Services'!N30</f>
        <v>130046</v>
      </c>
      <c r="Y30" s="374">
        <v>126259</v>
      </c>
      <c r="Z30" s="368">
        <v>0</v>
      </c>
      <c r="AB30" s="375">
        <f>'App 1 - Services'!F30</f>
        <v>351934</v>
      </c>
      <c r="AC30" s="372">
        <f t="shared" si="10"/>
        <v>302654.04057613335</v>
      </c>
      <c r="AD30" s="373">
        <f t="shared" si="11"/>
        <v>303641.69445826614</v>
      </c>
      <c r="AE30" s="374">
        <f t="shared" si="12"/>
        <v>294799.50710215018</v>
      </c>
      <c r="AF30" s="368">
        <f t="shared" si="13"/>
        <v>0</v>
      </c>
      <c r="AG30" s="376"/>
      <c r="AH30" s="377">
        <f t="shared" si="3"/>
        <v>126259</v>
      </c>
      <c r="AI30" s="377">
        <f t="shared" si="4"/>
        <v>294799.50710215018</v>
      </c>
      <c r="AJ30" s="377">
        <f t="shared" si="5"/>
        <v>38772</v>
      </c>
      <c r="AK30" s="369">
        <f>(AJ30*1000)/AE30/52</f>
        <v>2.5292287356404008</v>
      </c>
      <c r="AL30" s="370"/>
    </row>
    <row r="31" spans="1:38" x14ac:dyDescent="0.2">
      <c r="A31" s="8">
        <v>11700</v>
      </c>
      <c r="B31" s="8" t="s">
        <v>92</v>
      </c>
      <c r="C31" s="8" t="s">
        <v>38</v>
      </c>
      <c r="D31" s="29" t="s">
        <v>1</v>
      </c>
      <c r="E31" s="381"/>
      <c r="F31" s="358">
        <f>'App 6 - Residual Waste'!F31</f>
        <v>375</v>
      </c>
      <c r="G31" s="359">
        <f t="shared" si="0"/>
        <v>14.22394173873464</v>
      </c>
      <c r="H31" s="360">
        <f t="shared" si="1"/>
        <v>8.5408415107370761</v>
      </c>
      <c r="I31" s="361"/>
      <c r="J31" s="362"/>
      <c r="K31" s="363">
        <f>'App 4 - Recyclables'!F32</f>
        <v>0</v>
      </c>
      <c r="L31" s="364"/>
      <c r="M31" s="364"/>
      <c r="N31" s="357"/>
      <c r="O31" s="365">
        <f>'App 5 - Organics'!F31</f>
        <v>0</v>
      </c>
      <c r="P31" s="366"/>
      <c r="Q31" s="367"/>
      <c r="R31" s="368">
        <f>'App 5 - Organics'!J31</f>
        <v>0</v>
      </c>
      <c r="S31" s="369"/>
      <c r="T31" s="370"/>
      <c r="V31" s="371">
        <f>'App 1 - Services'!G31</f>
        <v>1055</v>
      </c>
      <c r="W31" s="372">
        <f>'App 1 - Services'!M31</f>
        <v>507</v>
      </c>
      <c r="X31" s="373">
        <f>'App 1 - Services'!N31</f>
        <v>0</v>
      </c>
      <c r="Y31" s="374">
        <v>0</v>
      </c>
      <c r="Z31" s="368">
        <v>0</v>
      </c>
      <c r="AA31" s="2">
        <v>1</v>
      </c>
      <c r="AB31" s="375">
        <f>'App 1 - Services'!F31</f>
        <v>1757</v>
      </c>
      <c r="AC31" s="372">
        <f t="shared" si="10"/>
        <v>844.35924170616113</v>
      </c>
      <c r="AD31" s="373">
        <f t="shared" si="11"/>
        <v>0</v>
      </c>
      <c r="AE31" s="374">
        <f t="shared" si="12"/>
        <v>0</v>
      </c>
      <c r="AF31" s="368">
        <f t="shared" si="13"/>
        <v>0</v>
      </c>
      <c r="AG31" s="376"/>
      <c r="AH31" s="377">
        <f t="shared" si="3"/>
        <v>0</v>
      </c>
      <c r="AI31" s="377">
        <f t="shared" si="4"/>
        <v>0</v>
      </c>
      <c r="AJ31" s="377">
        <f t="shared" si="5"/>
        <v>0</v>
      </c>
      <c r="AK31" s="369"/>
      <c r="AL31" s="370"/>
    </row>
    <row r="32" spans="1:38" x14ac:dyDescent="0.2">
      <c r="A32" s="8">
        <v>11720</v>
      </c>
      <c r="B32" s="8" t="s">
        <v>93</v>
      </c>
      <c r="C32" s="8" t="s">
        <v>23</v>
      </c>
      <c r="D32" s="29" t="s">
        <v>2</v>
      </c>
      <c r="E32" s="381"/>
      <c r="F32" s="358">
        <f>'App 6 - Residual Waste'!F32</f>
        <v>17484</v>
      </c>
      <c r="G32" s="359">
        <f t="shared" si="0"/>
        <v>13.338785624261881</v>
      </c>
      <c r="H32" s="360">
        <f t="shared" si="1"/>
        <v>5.7644646193234239</v>
      </c>
      <c r="I32" s="361"/>
      <c r="J32" s="362"/>
      <c r="K32" s="363">
        <f>'App 4 - Recyclables'!F33</f>
        <v>3814.4</v>
      </c>
      <c r="L32" s="364">
        <f t="shared" si="6"/>
        <v>2.8803489281755272</v>
      </c>
      <c r="M32" s="364">
        <f t="shared" si="7"/>
        <v>1.2447661995237109</v>
      </c>
      <c r="N32" s="357"/>
      <c r="O32" s="365">
        <f>'App 5 - Organics'!F32</f>
        <v>6611.2</v>
      </c>
      <c r="P32" s="366">
        <f t="shared" si="14"/>
        <v>5.0443763505182329</v>
      </c>
      <c r="Q32" s="367">
        <f t="shared" si="15"/>
        <v>2.1799682383547747</v>
      </c>
      <c r="R32" s="368">
        <f>'App 5 - Organics'!J32</f>
        <v>0</v>
      </c>
      <c r="S32" s="369"/>
      <c r="T32" s="370"/>
      <c r="V32" s="371">
        <f>'App 1 - Services'!G32</f>
        <v>29210</v>
      </c>
      <c r="W32" s="372">
        <f>'App 1 - Services'!M32</f>
        <v>25207</v>
      </c>
      <c r="X32" s="373">
        <f>'App 1 - Services'!N32</f>
        <v>25467</v>
      </c>
      <c r="Y32" s="374">
        <v>25204</v>
      </c>
      <c r="Z32" s="368">
        <v>0</v>
      </c>
      <c r="AB32" s="375">
        <f>'App 1 - Services'!F32</f>
        <v>67591</v>
      </c>
      <c r="AC32" s="372">
        <f t="shared" si="10"/>
        <v>58328.186819582334</v>
      </c>
      <c r="AD32" s="373">
        <f t="shared" si="11"/>
        <v>58929.818452584732</v>
      </c>
      <c r="AE32" s="374">
        <f t="shared" si="12"/>
        <v>58321.244916124619</v>
      </c>
      <c r="AF32" s="368">
        <f t="shared" si="13"/>
        <v>0</v>
      </c>
      <c r="AG32" s="376"/>
      <c r="AH32" s="377">
        <f t="shared" si="3"/>
        <v>25204</v>
      </c>
      <c r="AI32" s="377">
        <f t="shared" si="4"/>
        <v>58321.244916124619</v>
      </c>
      <c r="AJ32" s="377">
        <f t="shared" si="5"/>
        <v>6611.2</v>
      </c>
      <c r="AK32" s="369">
        <f>(AJ32*1000)/AE32/52</f>
        <v>2.1799682383547747</v>
      </c>
      <c r="AL32" s="370"/>
    </row>
    <row r="33" spans="1:38" x14ac:dyDescent="0.2">
      <c r="A33" s="8">
        <v>11730</v>
      </c>
      <c r="B33" s="8" t="s">
        <v>94</v>
      </c>
      <c r="C33" s="8" t="s">
        <v>19</v>
      </c>
      <c r="D33" s="29" t="s">
        <v>3</v>
      </c>
      <c r="E33" s="381"/>
      <c r="F33" s="358">
        <f>'App 6 - Residual Waste'!F33</f>
        <v>8400</v>
      </c>
      <c r="G33" s="359">
        <f t="shared" si="0"/>
        <v>6.9297096451658673</v>
      </c>
      <c r="H33" s="360">
        <f t="shared" si="1"/>
        <v>3.4297196427215919</v>
      </c>
      <c r="I33" s="361"/>
      <c r="J33" s="362"/>
      <c r="K33" s="363">
        <f>'App 4 - Recyclables'!F34</f>
        <v>5285</v>
      </c>
      <c r="L33" s="364">
        <f t="shared" si="6"/>
        <v>4.4391620609135352</v>
      </c>
      <c r="M33" s="364">
        <f t="shared" si="7"/>
        <v>2.1970734846243607</v>
      </c>
      <c r="N33" s="357"/>
      <c r="O33" s="365">
        <f>'App 5 - Organics'!F33</f>
        <v>0</v>
      </c>
      <c r="P33" s="366"/>
      <c r="Q33" s="367"/>
      <c r="R33" s="368">
        <f>'App 5 - Organics'!J33</f>
        <v>8049</v>
      </c>
      <c r="S33" s="369">
        <f t="shared" si="8"/>
        <v>8.3014298797844859</v>
      </c>
      <c r="T33" s="370">
        <f t="shared" si="9"/>
        <v>4.1086248312343701</v>
      </c>
      <c r="V33" s="371">
        <f>'App 1 - Services'!G33</f>
        <v>27381</v>
      </c>
      <c r="W33" s="372">
        <f>'App 1 - Services'!M33</f>
        <v>23311</v>
      </c>
      <c r="X33" s="373">
        <f>'App 1 - Services'!N33</f>
        <v>22895</v>
      </c>
      <c r="Y33" s="374">
        <v>0</v>
      </c>
      <c r="Z33" s="368">
        <v>18646</v>
      </c>
      <c r="AB33" s="375">
        <f>'App 1 - Services'!F33</f>
        <v>55323</v>
      </c>
      <c r="AC33" s="372">
        <f t="shared" si="10"/>
        <v>47099.611153719728</v>
      </c>
      <c r="AD33" s="373">
        <f t="shared" si="11"/>
        <v>46259.087871151525</v>
      </c>
      <c r="AE33" s="374">
        <f t="shared" si="12"/>
        <v>0</v>
      </c>
      <c r="AF33" s="368">
        <f t="shared" si="13"/>
        <v>37674.031554727728</v>
      </c>
      <c r="AG33" s="376" t="s">
        <v>13</v>
      </c>
      <c r="AH33" s="377">
        <f t="shared" si="3"/>
        <v>18646</v>
      </c>
      <c r="AI33" s="377">
        <f t="shared" si="4"/>
        <v>37674.031554727728</v>
      </c>
      <c r="AJ33" s="377">
        <f t="shared" si="5"/>
        <v>8049</v>
      </c>
      <c r="AK33" s="369"/>
      <c r="AL33" s="370">
        <f>(AJ33*1000)/AF33/52</f>
        <v>4.1086248312343701</v>
      </c>
    </row>
    <row r="34" spans="1:38" x14ac:dyDescent="0.2">
      <c r="A34" s="8">
        <v>11750</v>
      </c>
      <c r="B34" s="8" t="s">
        <v>95</v>
      </c>
      <c r="C34" s="8" t="s">
        <v>38</v>
      </c>
      <c r="D34" s="29" t="s">
        <v>1</v>
      </c>
      <c r="E34" s="381"/>
      <c r="F34" s="358">
        <f>'App 6 - Residual Waste'!F34</f>
        <v>883</v>
      </c>
      <c r="G34" s="359">
        <f t="shared" si="0"/>
        <v>6.7625524614771928</v>
      </c>
      <c r="H34" s="360">
        <f t="shared" si="1"/>
        <v>4.7692743695949993</v>
      </c>
      <c r="I34" s="361"/>
      <c r="J34" s="362"/>
      <c r="K34" s="363">
        <f>'App 4 - Recyclables'!F35</f>
        <v>0</v>
      </c>
      <c r="L34" s="364"/>
      <c r="M34" s="364"/>
      <c r="N34" s="357"/>
      <c r="O34" s="365">
        <f>'App 5 - Organics'!F34</f>
        <v>0</v>
      </c>
      <c r="P34" s="366"/>
      <c r="Q34" s="367"/>
      <c r="R34" s="368">
        <f>'App 5 - Organics'!J34</f>
        <v>0</v>
      </c>
      <c r="S34" s="369"/>
      <c r="T34" s="370"/>
      <c r="V34" s="371">
        <f>'App 1 - Services'!G34</f>
        <v>2876</v>
      </c>
      <c r="W34" s="372">
        <f>'App 1 - Services'!M34</f>
        <v>2511</v>
      </c>
      <c r="X34" s="373">
        <f>'App 1 - Services'!N34</f>
        <v>0</v>
      </c>
      <c r="Y34" s="374">
        <v>0</v>
      </c>
      <c r="Z34" s="368">
        <v>0</v>
      </c>
      <c r="AA34" s="2">
        <v>1</v>
      </c>
      <c r="AB34" s="375">
        <f>'App 1 - Services'!F34</f>
        <v>4078</v>
      </c>
      <c r="AC34" s="372">
        <f t="shared" si="10"/>
        <v>3560.451321279555</v>
      </c>
      <c r="AD34" s="373">
        <f t="shared" si="11"/>
        <v>0</v>
      </c>
      <c r="AE34" s="374">
        <f t="shared" si="12"/>
        <v>0</v>
      </c>
      <c r="AF34" s="368">
        <f t="shared" si="13"/>
        <v>0</v>
      </c>
      <c r="AG34" s="376"/>
      <c r="AH34" s="377">
        <f t="shared" si="3"/>
        <v>0</v>
      </c>
      <c r="AI34" s="377">
        <f t="shared" si="4"/>
        <v>0</v>
      </c>
      <c r="AJ34" s="377">
        <f t="shared" si="5"/>
        <v>0</v>
      </c>
      <c r="AK34" s="369"/>
      <c r="AL34" s="370"/>
    </row>
    <row r="35" spans="1:38" x14ac:dyDescent="0.2">
      <c r="A35" s="8">
        <v>11800</v>
      </c>
      <c r="B35" s="8" t="s">
        <v>42</v>
      </c>
      <c r="C35" s="8" t="s">
        <v>39</v>
      </c>
      <c r="D35" s="29" t="s">
        <v>3</v>
      </c>
      <c r="E35" s="381"/>
      <c r="F35" s="358">
        <f>'App 6 - Residual Waste'!F35</f>
        <v>14093.14</v>
      </c>
      <c r="G35" s="359">
        <f t="shared" si="0"/>
        <v>8.5883297866376118</v>
      </c>
      <c r="H35" s="360">
        <f t="shared" si="1"/>
        <v>3.616234327658876</v>
      </c>
      <c r="I35" s="361"/>
      <c r="J35" s="362"/>
      <c r="K35" s="363">
        <f>'App 4 - Recyclables'!F36</f>
        <v>6288.5</v>
      </c>
      <c r="L35" s="364">
        <f t="shared" si="6"/>
        <v>4.2619451033547948</v>
      </c>
      <c r="M35" s="364">
        <f t="shared" si="7"/>
        <v>1.7945505783125317</v>
      </c>
      <c r="N35" s="357"/>
      <c r="O35" s="365">
        <f>'App 5 - Organics'!F35</f>
        <v>0</v>
      </c>
      <c r="P35" s="366"/>
      <c r="Q35" s="367"/>
      <c r="R35" s="368">
        <f>'App 5 - Organics'!J35</f>
        <v>12302.93</v>
      </c>
      <c r="S35" s="369">
        <f t="shared" si="8"/>
        <v>8.3381430023720764</v>
      </c>
      <c r="T35" s="370">
        <f t="shared" si="9"/>
        <v>3.5108897426156629</v>
      </c>
      <c r="V35" s="371">
        <f>'App 1 - Services'!G35</f>
        <v>33891</v>
      </c>
      <c r="W35" s="372">
        <f>'App 1 - Services'!M35</f>
        <v>31557</v>
      </c>
      <c r="X35" s="373">
        <f>'App 1 - Services'!N35</f>
        <v>28375</v>
      </c>
      <c r="Y35" s="374">
        <v>0</v>
      </c>
      <c r="Z35" s="368">
        <v>28375</v>
      </c>
      <c r="AB35" s="375">
        <f>'App 1 - Services'!F35</f>
        <v>80489</v>
      </c>
      <c r="AC35" s="372">
        <f t="shared" si="10"/>
        <v>74945.89634416216</v>
      </c>
      <c r="AD35" s="373">
        <f t="shared" si="11"/>
        <v>67388.845858782559</v>
      </c>
      <c r="AE35" s="374">
        <f t="shared" si="12"/>
        <v>0</v>
      </c>
      <c r="AF35" s="368">
        <f t="shared" si="13"/>
        <v>67388.845858782559</v>
      </c>
      <c r="AG35" s="376" t="s">
        <v>13</v>
      </c>
      <c r="AH35" s="377">
        <f t="shared" si="3"/>
        <v>28375</v>
      </c>
      <c r="AI35" s="377">
        <f t="shared" si="4"/>
        <v>67388.845858782559</v>
      </c>
      <c r="AJ35" s="377">
        <f t="shared" si="5"/>
        <v>12302.93</v>
      </c>
      <c r="AK35" s="369"/>
      <c r="AL35" s="370">
        <f>(AJ35*1000)/AF35/52</f>
        <v>3.5108897426156629</v>
      </c>
    </row>
    <row r="36" spans="1:38" x14ac:dyDescent="0.2">
      <c r="A36" s="8">
        <v>12000</v>
      </c>
      <c r="B36" s="8" t="s">
        <v>96</v>
      </c>
      <c r="C36" s="8" t="s">
        <v>21</v>
      </c>
      <c r="D36" s="29" t="s">
        <v>1</v>
      </c>
      <c r="E36" s="381"/>
      <c r="F36" s="358">
        <f>'App 6 - Residual Waste'!F36</f>
        <v>816</v>
      </c>
      <c r="G36" s="359">
        <f t="shared" si="0"/>
        <v>8.6889854331714798</v>
      </c>
      <c r="H36" s="360">
        <f t="shared" si="1"/>
        <v>3.4496169910546692</v>
      </c>
      <c r="I36" s="361"/>
      <c r="J36" s="362"/>
      <c r="K36" s="363">
        <f>'App 4 - Recyclables'!F37</f>
        <v>416</v>
      </c>
      <c r="L36" s="364">
        <f t="shared" si="6"/>
        <v>6.4724919093851128</v>
      </c>
      <c r="M36" s="364">
        <f t="shared" si="7"/>
        <v>2.5696461614309767</v>
      </c>
      <c r="N36" s="357"/>
      <c r="O36" s="365">
        <f>'App 5 - Organics'!F36</f>
        <v>0</v>
      </c>
      <c r="P36" s="366"/>
      <c r="Q36" s="367"/>
      <c r="R36" s="368">
        <f>'App 5 - Organics'!J36</f>
        <v>198</v>
      </c>
      <c r="S36" s="369">
        <f t="shared" si="8"/>
        <v>3.0806572068707991</v>
      </c>
      <c r="T36" s="370">
        <f t="shared" si="9"/>
        <v>1.2230527402964746</v>
      </c>
      <c r="V36" s="371">
        <f>'App 1 - Services'!G36</f>
        <v>1806</v>
      </c>
      <c r="W36" s="372">
        <f>'App 1 - Services'!M36</f>
        <v>1806</v>
      </c>
      <c r="X36" s="373">
        <f>'App 1 - Services'!N36</f>
        <v>1236</v>
      </c>
      <c r="Y36" s="374">
        <v>0</v>
      </c>
      <c r="Z36" s="368">
        <v>1236</v>
      </c>
      <c r="AB36" s="375">
        <f>'App 1 - Services'!F36</f>
        <v>4549</v>
      </c>
      <c r="AC36" s="372">
        <f t="shared" si="10"/>
        <v>4549</v>
      </c>
      <c r="AD36" s="373">
        <f t="shared" si="11"/>
        <v>3113.2691029900334</v>
      </c>
      <c r="AE36" s="374">
        <f t="shared" si="12"/>
        <v>0</v>
      </c>
      <c r="AF36" s="368">
        <f t="shared" si="13"/>
        <v>3113.2691029900334</v>
      </c>
      <c r="AG36" s="376" t="s">
        <v>13</v>
      </c>
      <c r="AH36" s="377">
        <f t="shared" si="3"/>
        <v>1236</v>
      </c>
      <c r="AI36" s="377">
        <f t="shared" si="4"/>
        <v>3113.2691029900334</v>
      </c>
      <c r="AJ36" s="377">
        <f t="shared" si="5"/>
        <v>198</v>
      </c>
      <c r="AK36" s="369"/>
      <c r="AL36" s="370">
        <f>(AJ36*1000)/AF36/52</f>
        <v>1.2230527402964746</v>
      </c>
    </row>
    <row r="37" spans="1:38" x14ac:dyDescent="0.2">
      <c r="A37" s="8">
        <v>12150</v>
      </c>
      <c r="B37" s="8" t="s">
        <v>97</v>
      </c>
      <c r="C37" s="8" t="s">
        <v>38</v>
      </c>
      <c r="D37" s="29" t="s">
        <v>1</v>
      </c>
      <c r="E37" s="381"/>
      <c r="F37" s="358">
        <f>'App 6 - Residual Waste'!F37</f>
        <v>4000</v>
      </c>
      <c r="G37" s="359">
        <f t="shared" si="0"/>
        <v>60.002400096003839</v>
      </c>
      <c r="H37" s="360">
        <f t="shared" si="1"/>
        <v>43.995543815536614</v>
      </c>
      <c r="I37" s="361"/>
      <c r="J37" s="362"/>
      <c r="K37" s="363">
        <f>'App 4 - Recyclables'!F38</f>
        <v>0</v>
      </c>
      <c r="L37" s="364"/>
      <c r="M37" s="364"/>
      <c r="N37" s="357"/>
      <c r="O37" s="365">
        <f>'App 5 - Organics'!F37</f>
        <v>0</v>
      </c>
      <c r="P37" s="366"/>
      <c r="Q37" s="367"/>
      <c r="R37" s="368">
        <f>'App 5 - Organics'!J37</f>
        <v>0</v>
      </c>
      <c r="S37" s="369"/>
      <c r="T37" s="370"/>
      <c r="V37" s="371">
        <f>'App 1 - Services'!G37</f>
        <v>2831</v>
      </c>
      <c r="W37" s="372">
        <f>'App 1 - Services'!M37</f>
        <v>1282</v>
      </c>
      <c r="X37" s="373">
        <f>'App 1 - Services'!N37</f>
        <v>0</v>
      </c>
      <c r="Y37" s="374">
        <v>0</v>
      </c>
      <c r="Z37" s="368">
        <v>0</v>
      </c>
      <c r="AA37" s="2">
        <v>1</v>
      </c>
      <c r="AB37" s="375">
        <f>'App 1 - Services'!F37</f>
        <v>3861</v>
      </c>
      <c r="AC37" s="372">
        <f t="shared" si="10"/>
        <v>1748.4288237371954</v>
      </c>
      <c r="AD37" s="373">
        <f t="shared" si="11"/>
        <v>0</v>
      </c>
      <c r="AE37" s="374">
        <f t="shared" si="12"/>
        <v>0</v>
      </c>
      <c r="AF37" s="368">
        <f t="shared" si="13"/>
        <v>0</v>
      </c>
      <c r="AG37" s="376"/>
      <c r="AH37" s="377">
        <f t="shared" si="3"/>
        <v>0</v>
      </c>
      <c r="AI37" s="377">
        <f t="shared" si="4"/>
        <v>0</v>
      </c>
      <c r="AJ37" s="377">
        <f t="shared" si="5"/>
        <v>0</v>
      </c>
      <c r="AK37" s="369"/>
      <c r="AL37" s="370"/>
    </row>
    <row r="38" spans="1:38" x14ac:dyDescent="0.2">
      <c r="A38" s="8">
        <v>12160</v>
      </c>
      <c r="B38" s="8" t="s">
        <v>98</v>
      </c>
      <c r="C38" s="8" t="s">
        <v>21</v>
      </c>
      <c r="D38" s="29" t="s">
        <v>1</v>
      </c>
      <c r="E38" s="357"/>
      <c r="F38" s="358">
        <f>'App 6 - Residual Waste'!F38</f>
        <v>1966</v>
      </c>
      <c r="G38" s="359">
        <f t="shared" si="0"/>
        <v>9.4661222603135471</v>
      </c>
      <c r="H38" s="360">
        <f t="shared" si="1"/>
        <v>5.6412255206770503</v>
      </c>
      <c r="I38" s="361"/>
      <c r="J38" s="362"/>
      <c r="K38" s="363">
        <f>'App 4 - Recyclables'!F39</f>
        <v>607.32000000000005</v>
      </c>
      <c r="L38" s="364">
        <f t="shared" si="6"/>
        <v>2.924193983282616</v>
      </c>
      <c r="M38" s="364">
        <f t="shared" si="7"/>
        <v>1.7426394116060968</v>
      </c>
      <c r="N38" s="357"/>
      <c r="O38" s="365">
        <f>'App 5 - Organics'!F38</f>
        <v>852.67</v>
      </c>
      <c r="P38" s="366">
        <f t="shared" si="14"/>
        <v>5.3885967794939198</v>
      </c>
      <c r="Q38" s="367">
        <f t="shared" si="15"/>
        <v>3.2112716101886036</v>
      </c>
      <c r="R38" s="368">
        <f>'App 5 - Organics'!J38</f>
        <v>494.52</v>
      </c>
      <c r="S38" s="369">
        <f t="shared" ref="S38" si="18">(R38*1000)/Z38/52</f>
        <v>10</v>
      </c>
      <c r="T38" s="370">
        <f t="shared" ref="T38" si="19">(R38*1000)/AF38/52</f>
        <v>5.9593837535013998</v>
      </c>
      <c r="U38">
        <v>1</v>
      </c>
      <c r="V38" s="371">
        <f>'App 1 - Services'!G38</f>
        <v>6808</v>
      </c>
      <c r="W38" s="372">
        <f>'App 1 - Services'!M38</f>
        <v>3994</v>
      </c>
      <c r="X38" s="373">
        <f>'App 1 - Services'!N38</f>
        <v>3994</v>
      </c>
      <c r="Y38" s="374">
        <v>3043</v>
      </c>
      <c r="Z38" s="368">
        <v>951</v>
      </c>
      <c r="AB38" s="375">
        <f>'App 1 - Services'!F38</f>
        <v>11424</v>
      </c>
      <c r="AC38" s="372">
        <f t="shared" si="10"/>
        <v>6702.0352526439483</v>
      </c>
      <c r="AD38" s="373">
        <f t="shared" si="11"/>
        <v>6702.0352526439483</v>
      </c>
      <c r="AE38" s="374">
        <f t="shared" si="12"/>
        <v>5106.2326674500591</v>
      </c>
      <c r="AF38" s="368">
        <f t="shared" si="13"/>
        <v>1595.8025851938896</v>
      </c>
      <c r="AG38" s="376" t="s">
        <v>13</v>
      </c>
      <c r="AH38" s="377">
        <f t="shared" si="3"/>
        <v>3994</v>
      </c>
      <c r="AI38" s="377">
        <f t="shared" si="4"/>
        <v>6702.0352526439492</v>
      </c>
      <c r="AJ38" s="377">
        <f t="shared" si="5"/>
        <v>1347.19</v>
      </c>
      <c r="AK38" s="369">
        <f>(AJ38*1000)/AE38/52</f>
        <v>5.0737014325940688</v>
      </c>
      <c r="AL38" s="370">
        <f>(AJ38*1000)/AF38/52</f>
        <v>16.23477755981467</v>
      </c>
    </row>
    <row r="39" spans="1:38" x14ac:dyDescent="0.2">
      <c r="A39" s="8">
        <v>12350</v>
      </c>
      <c r="B39" s="8" t="s">
        <v>99</v>
      </c>
      <c r="C39" s="8" t="s">
        <v>38</v>
      </c>
      <c r="D39" s="29" t="s">
        <v>1</v>
      </c>
      <c r="E39" s="357"/>
      <c r="F39" s="358">
        <f>'App 6 - Residual Waste'!F39</f>
        <v>3117.48</v>
      </c>
      <c r="G39" s="359">
        <f t="shared" si="0"/>
        <v>12.704288718274732</v>
      </c>
      <c r="H39" s="360">
        <f t="shared" si="1"/>
        <v>7.6291968430622097</v>
      </c>
      <c r="I39" s="361"/>
      <c r="J39" s="362"/>
      <c r="K39" s="363">
        <f>'App 4 - Recyclables'!F40</f>
        <v>832.54</v>
      </c>
      <c r="L39" s="364">
        <f t="shared" si="6"/>
        <v>3.517219818845478</v>
      </c>
      <c r="M39" s="364">
        <f t="shared" si="7"/>
        <v>2.1121656578610732</v>
      </c>
      <c r="N39" s="357"/>
      <c r="O39" s="365">
        <f>'App 5 - Organics'!F39</f>
        <v>0</v>
      </c>
      <c r="P39" s="366"/>
      <c r="Q39" s="367"/>
      <c r="R39" s="368">
        <f>'App 5 - Organics'!J39</f>
        <v>0</v>
      </c>
      <c r="S39" s="369"/>
      <c r="T39" s="370"/>
      <c r="V39" s="371">
        <f>'App 1 - Services'!G39</f>
        <v>7602</v>
      </c>
      <c r="W39" s="372">
        <f>'App 1 - Services'!M39</f>
        <v>4719</v>
      </c>
      <c r="X39" s="373">
        <f>'App 1 - Services'!N39</f>
        <v>4552</v>
      </c>
      <c r="Y39" s="374">
        <v>0</v>
      </c>
      <c r="Z39" s="368">
        <v>0</v>
      </c>
      <c r="AA39" s="2">
        <v>1</v>
      </c>
      <c r="AB39" s="375">
        <f>'App 1 - Services'!F39</f>
        <v>12659</v>
      </c>
      <c r="AC39" s="372">
        <f t="shared" si="10"/>
        <v>7858.1716653512231</v>
      </c>
      <c r="AD39" s="373">
        <f t="shared" si="11"/>
        <v>7580.0799789529065</v>
      </c>
      <c r="AE39" s="374">
        <f t="shared" si="12"/>
        <v>0</v>
      </c>
      <c r="AF39" s="368">
        <f t="shared" si="13"/>
        <v>0</v>
      </c>
      <c r="AG39" s="376"/>
      <c r="AH39" s="377">
        <f t="shared" si="3"/>
        <v>0</v>
      </c>
      <c r="AI39" s="377">
        <f t="shared" si="4"/>
        <v>0</v>
      </c>
      <c r="AJ39" s="377">
        <f t="shared" si="5"/>
        <v>0</v>
      </c>
      <c r="AK39" s="369"/>
      <c r="AL39" s="370"/>
    </row>
    <row r="40" spans="1:38" x14ac:dyDescent="0.2">
      <c r="A40" s="8">
        <v>12380</v>
      </c>
      <c r="B40" s="8" t="s">
        <v>47</v>
      </c>
      <c r="C40" s="8" t="s">
        <v>18</v>
      </c>
      <c r="D40" s="29" t="s">
        <v>2</v>
      </c>
      <c r="E40" s="357"/>
      <c r="F40" s="358">
        <f>'App 6 - Residual Waste'!F40</f>
        <v>67859</v>
      </c>
      <c r="G40" s="359">
        <f t="shared" si="0"/>
        <v>14.895850436960167</v>
      </c>
      <c r="H40" s="360">
        <f t="shared" si="1"/>
        <v>4.4668181841693384</v>
      </c>
      <c r="I40" s="361"/>
      <c r="J40" s="362"/>
      <c r="K40" s="363">
        <f>'App 4 - Recyclables'!F41</f>
        <v>9564</v>
      </c>
      <c r="L40" s="364">
        <f t="shared" si="6"/>
        <v>5.7352295650964145</v>
      </c>
      <c r="M40" s="364">
        <f t="shared" si="7"/>
        <v>1.7198231024254462</v>
      </c>
      <c r="N40" s="357"/>
      <c r="O40" s="365">
        <f>'App 5 - Organics'!F40</f>
        <v>7571</v>
      </c>
      <c r="P40" s="366">
        <f t="shared" si="14"/>
        <v>4.5290743722945797</v>
      </c>
      <c r="Q40" s="367">
        <f t="shared" si="15"/>
        <v>1.3581333841419303</v>
      </c>
      <c r="R40" s="368">
        <f>'App 5 - Organics'!J40</f>
        <v>0</v>
      </c>
      <c r="S40" s="369"/>
      <c r="T40" s="370"/>
      <c r="V40" s="371">
        <f>'App 1 - Services'!G40</f>
        <v>73565</v>
      </c>
      <c r="W40" s="372">
        <f>'App 1 - Services'!M40</f>
        <v>87607</v>
      </c>
      <c r="X40" s="373">
        <f>'App 1 - Services'!N40</f>
        <v>32069</v>
      </c>
      <c r="Y40" s="374">
        <v>32147</v>
      </c>
      <c r="Z40" s="368">
        <v>0</v>
      </c>
      <c r="AB40" s="375">
        <f>'App 1 - Services'!F40</f>
        <v>245323</v>
      </c>
      <c r="AC40" s="372">
        <f t="shared" si="10"/>
        <v>292149.96344729152</v>
      </c>
      <c r="AD40" s="373">
        <f t="shared" si="11"/>
        <v>106943.02028138381</v>
      </c>
      <c r="AE40" s="374">
        <f t="shared" si="12"/>
        <v>107203.13302521579</v>
      </c>
      <c r="AF40" s="368">
        <f t="shared" si="13"/>
        <v>0</v>
      </c>
      <c r="AG40" s="376"/>
      <c r="AH40" s="377">
        <f t="shared" si="3"/>
        <v>32147</v>
      </c>
      <c r="AI40" s="377">
        <f t="shared" si="4"/>
        <v>107203.13302521579</v>
      </c>
      <c r="AJ40" s="377">
        <f t="shared" si="5"/>
        <v>7571</v>
      </c>
      <c r="AK40" s="369">
        <f>(AJ40*1000)/AE40/52</f>
        <v>1.3581333841419303</v>
      </c>
      <c r="AL40" s="370"/>
    </row>
    <row r="41" spans="1:38" x14ac:dyDescent="0.2">
      <c r="A41" s="8">
        <v>12390</v>
      </c>
      <c r="B41" s="8" t="s">
        <v>100</v>
      </c>
      <c r="C41" s="8" t="s">
        <v>38</v>
      </c>
      <c r="D41" s="29" t="s">
        <v>1</v>
      </c>
      <c r="E41" s="357"/>
      <c r="F41" s="358">
        <f>'App 6 - Residual Waste'!F41</f>
        <v>10269</v>
      </c>
      <c r="G41" s="359">
        <f t="shared" si="0"/>
        <v>9.8107590655655645</v>
      </c>
      <c r="H41" s="360">
        <f t="shared" si="1"/>
        <v>3.6257379325374206</v>
      </c>
      <c r="I41" s="361"/>
      <c r="J41" s="362"/>
      <c r="K41" s="363">
        <f>'App 4 - Recyclables'!F42</f>
        <v>2816.63</v>
      </c>
      <c r="L41" s="364">
        <f t="shared" si="6"/>
        <v>2.6900060358790991</v>
      </c>
      <c r="M41" s="364">
        <f t="shared" si="7"/>
        <v>0.99413886915988781</v>
      </c>
      <c r="N41" s="357"/>
      <c r="O41" s="365">
        <f>'App 5 - Organics'!F41</f>
        <v>0</v>
      </c>
      <c r="P41" s="366"/>
      <c r="Q41" s="367"/>
      <c r="R41" s="368">
        <f>'App 5 - Organics'!J41</f>
        <v>6808.7</v>
      </c>
      <c r="S41" s="369">
        <f t="shared" si="8"/>
        <v>7.9134859459409199</v>
      </c>
      <c r="T41" s="370">
        <f t="shared" si="9"/>
        <v>2.9245674041171386</v>
      </c>
      <c r="V41" s="371">
        <f>'App 1 - Services'!G41</f>
        <v>20902</v>
      </c>
      <c r="W41" s="372">
        <f>'App 1 - Services'!M41</f>
        <v>20129</v>
      </c>
      <c r="X41" s="373">
        <f>'App 1 - Services'!N41</f>
        <v>20136</v>
      </c>
      <c r="Y41" s="374">
        <v>0</v>
      </c>
      <c r="Z41" s="368">
        <v>16546</v>
      </c>
      <c r="AB41" s="375">
        <f>'App 1 - Services'!F41</f>
        <v>56558</v>
      </c>
      <c r="AC41" s="372">
        <f t="shared" si="10"/>
        <v>54466.365993684813</v>
      </c>
      <c r="AD41" s="373">
        <f t="shared" si="11"/>
        <v>54485.307051956748</v>
      </c>
      <c r="AE41" s="374">
        <f t="shared" si="12"/>
        <v>0</v>
      </c>
      <c r="AF41" s="368">
        <f t="shared" si="13"/>
        <v>44771.250023921151</v>
      </c>
      <c r="AG41" s="376" t="s">
        <v>330</v>
      </c>
      <c r="AH41" s="377">
        <f t="shared" si="3"/>
        <v>16546</v>
      </c>
      <c r="AI41" s="377">
        <f t="shared" si="4"/>
        <v>44771.250023921151</v>
      </c>
      <c r="AJ41" s="377">
        <f t="shared" si="5"/>
        <v>6808.7</v>
      </c>
      <c r="AK41" s="369"/>
      <c r="AL41" s="370">
        <f>(AJ41*1000)/AF41/52</f>
        <v>2.9245674041171386</v>
      </c>
    </row>
    <row r="42" spans="1:38" x14ac:dyDescent="0.2">
      <c r="A42" s="8">
        <v>12700</v>
      </c>
      <c r="B42" s="8" t="s">
        <v>101</v>
      </c>
      <c r="C42" s="8" t="s">
        <v>23</v>
      </c>
      <c r="D42" s="29" t="s">
        <v>3</v>
      </c>
      <c r="E42" s="357"/>
      <c r="F42" s="358">
        <f>'App 6 - Residual Waste'!F42</f>
        <v>2459</v>
      </c>
      <c r="G42" s="359">
        <f t="shared" si="0"/>
        <v>12.091143323564697</v>
      </c>
      <c r="H42" s="360">
        <f t="shared" si="1"/>
        <v>6.735733677026265</v>
      </c>
      <c r="I42" s="361"/>
      <c r="J42" s="362"/>
      <c r="K42" s="363">
        <f>'App 4 - Recyclables'!F43</f>
        <v>656</v>
      </c>
      <c r="L42" s="364">
        <f t="shared" si="6"/>
        <v>3.2480392933534028</v>
      </c>
      <c r="M42" s="364">
        <f t="shared" si="7"/>
        <v>1.8094176098224493</v>
      </c>
      <c r="N42" s="357"/>
      <c r="O42" s="365">
        <f>'App 5 - Organics'!F42</f>
        <v>0</v>
      </c>
      <c r="P42" s="366"/>
      <c r="Q42" s="367"/>
      <c r="R42" s="368">
        <f>'App 5 - Organics'!J42</f>
        <v>0</v>
      </c>
      <c r="S42" s="369"/>
      <c r="T42" s="370"/>
      <c r="V42" s="371">
        <f>'App 1 - Services'!G42</f>
        <v>5441</v>
      </c>
      <c r="W42" s="372">
        <f>'App 1 - Services'!M42</f>
        <v>3911</v>
      </c>
      <c r="X42" s="373">
        <f>'App 1 - Services'!N42</f>
        <v>3884</v>
      </c>
      <c r="Y42" s="374">
        <v>0</v>
      </c>
      <c r="Z42" s="368">
        <v>0</v>
      </c>
      <c r="AA42" s="2">
        <v>1</v>
      </c>
      <c r="AB42" s="375">
        <f>'App 1 - Services'!F42</f>
        <v>9767</v>
      </c>
      <c r="AC42" s="372">
        <f t="shared" si="10"/>
        <v>7020.5361146848009</v>
      </c>
      <c r="AD42" s="373">
        <f t="shared" si="11"/>
        <v>6972.0691049439447</v>
      </c>
      <c r="AE42" s="374">
        <f t="shared" si="12"/>
        <v>0</v>
      </c>
      <c r="AF42" s="368">
        <f t="shared" si="13"/>
        <v>0</v>
      </c>
      <c r="AG42" s="376"/>
      <c r="AH42" s="377">
        <f t="shared" si="3"/>
        <v>0</v>
      </c>
      <c r="AI42" s="377">
        <f t="shared" si="4"/>
        <v>0</v>
      </c>
      <c r="AJ42" s="377">
        <f t="shared" si="5"/>
        <v>0</v>
      </c>
      <c r="AK42" s="369"/>
      <c r="AL42" s="370"/>
    </row>
    <row r="43" spans="1:38" x14ac:dyDescent="0.2">
      <c r="A43" s="8">
        <v>12730</v>
      </c>
      <c r="B43" s="8" t="s">
        <v>102</v>
      </c>
      <c r="C43" s="8" t="s">
        <v>66</v>
      </c>
      <c r="D43" s="29" t="s">
        <v>1</v>
      </c>
      <c r="E43" s="357"/>
      <c r="F43" s="358">
        <f>'App 6 - Residual Waste'!F43</f>
        <v>2849</v>
      </c>
      <c r="G43" s="359">
        <f t="shared" si="0"/>
        <v>14.544322149843785</v>
      </c>
      <c r="H43" s="360">
        <f t="shared" si="1"/>
        <v>8.6731088312295022</v>
      </c>
      <c r="I43" s="361"/>
      <c r="J43" s="362"/>
      <c r="K43" s="363">
        <f>'App 4 - Recyclables'!F44</f>
        <v>0</v>
      </c>
      <c r="L43" s="364"/>
      <c r="M43" s="364"/>
      <c r="N43" s="357"/>
      <c r="O43" s="365">
        <f>'App 5 - Organics'!F43</f>
        <v>0</v>
      </c>
      <c r="P43" s="366"/>
      <c r="Q43" s="367"/>
      <c r="R43" s="368">
        <f>'App 5 - Organics'!J43</f>
        <v>0</v>
      </c>
      <c r="S43" s="369"/>
      <c r="T43" s="370"/>
      <c r="V43" s="371">
        <f>'App 1 - Services'!G43</f>
        <v>5027</v>
      </c>
      <c r="W43" s="372">
        <f>'App 1 - Services'!M43</f>
        <v>3767</v>
      </c>
      <c r="X43" s="373">
        <f>'App 1 - Services'!N43</f>
        <v>0</v>
      </c>
      <c r="Y43" s="374">
        <v>0</v>
      </c>
      <c r="Z43" s="368">
        <v>0</v>
      </c>
      <c r="AA43" s="2">
        <v>1</v>
      </c>
      <c r="AB43" s="375">
        <f>'App 1 - Services'!F43</f>
        <v>8430</v>
      </c>
      <c r="AC43" s="372">
        <f t="shared" si="10"/>
        <v>6317.0499303759698</v>
      </c>
      <c r="AD43" s="373">
        <f t="shared" si="11"/>
        <v>0</v>
      </c>
      <c r="AE43" s="374">
        <f t="shared" si="12"/>
        <v>0</v>
      </c>
      <c r="AF43" s="368">
        <f t="shared" si="13"/>
        <v>0</v>
      </c>
      <c r="AG43" s="376"/>
      <c r="AH43" s="377">
        <f t="shared" si="3"/>
        <v>0</v>
      </c>
      <c r="AI43" s="377">
        <f t="shared" si="4"/>
        <v>0</v>
      </c>
      <c r="AJ43" s="377">
        <f t="shared" si="5"/>
        <v>0</v>
      </c>
      <c r="AK43" s="369"/>
      <c r="AL43" s="370"/>
    </row>
    <row r="44" spans="1:38" x14ac:dyDescent="0.2">
      <c r="A44" s="8">
        <v>12750</v>
      </c>
      <c r="B44" s="8" t="s">
        <v>103</v>
      </c>
      <c r="C44" s="8" t="s">
        <v>67</v>
      </c>
      <c r="D44" s="29" t="s">
        <v>1</v>
      </c>
      <c r="E44" s="357"/>
      <c r="F44" s="358">
        <f>'App 6 - Residual Waste'!F44</f>
        <v>6933.58</v>
      </c>
      <c r="G44" s="359">
        <f t="shared" si="0"/>
        <v>5.612344343929494</v>
      </c>
      <c r="H44" s="360">
        <f t="shared" si="1"/>
        <v>3.448315891996375</v>
      </c>
      <c r="I44" s="361"/>
      <c r="J44" s="362"/>
      <c r="K44" s="363">
        <f>'App 4 - Recyclables'!F45</f>
        <v>4705.0200000000004</v>
      </c>
      <c r="L44" s="364">
        <f t="shared" si="6"/>
        <v>3.8448626969002615</v>
      </c>
      <c r="M44" s="364">
        <f t="shared" si="7"/>
        <v>2.3623463436640071</v>
      </c>
      <c r="N44" s="357"/>
      <c r="O44" s="365">
        <f>'App 5 - Organics'!F44</f>
        <v>6615.24</v>
      </c>
      <c r="P44" s="366">
        <f t="shared" si="14"/>
        <v>5.6131377447120476</v>
      </c>
      <c r="Q44" s="367">
        <f t="shared" si="15"/>
        <v>3.4488033703760936</v>
      </c>
      <c r="R44" s="368">
        <f>'App 5 - Organics'!J44</f>
        <v>0</v>
      </c>
      <c r="S44" s="369"/>
      <c r="T44" s="370"/>
      <c r="V44" s="371">
        <f>'App 1 - Services'!G44</f>
        <v>25137</v>
      </c>
      <c r="W44" s="372">
        <f>'App 1 - Services'!M44</f>
        <v>23758</v>
      </c>
      <c r="X44" s="373">
        <f>'App 1 - Services'!N44</f>
        <v>23533</v>
      </c>
      <c r="Y44" s="374">
        <v>22664</v>
      </c>
      <c r="Z44" s="368">
        <v>0</v>
      </c>
      <c r="AB44" s="375">
        <f>'App 1 - Services'!F44</f>
        <v>40912</v>
      </c>
      <c r="AC44" s="372">
        <f t="shared" si="10"/>
        <v>38667.593428014479</v>
      </c>
      <c r="AD44" s="373">
        <f t="shared" si="11"/>
        <v>38301.392210685444</v>
      </c>
      <c r="AE44" s="374">
        <f t="shared" si="12"/>
        <v>36887.041731312405</v>
      </c>
      <c r="AF44" s="368">
        <f t="shared" si="13"/>
        <v>0</v>
      </c>
      <c r="AG44" s="376"/>
      <c r="AH44" s="377">
        <f t="shared" si="3"/>
        <v>22664</v>
      </c>
      <c r="AI44" s="377">
        <f t="shared" si="4"/>
        <v>36887.041731312405</v>
      </c>
      <c r="AJ44" s="377">
        <f t="shared" si="5"/>
        <v>6615.24</v>
      </c>
      <c r="AK44" s="369">
        <f>(AJ44*1000)/AE44/52</f>
        <v>3.4488033703760936</v>
      </c>
      <c r="AL44" s="370"/>
    </row>
    <row r="45" spans="1:38" x14ac:dyDescent="0.2">
      <c r="A45" s="8">
        <v>12850</v>
      </c>
      <c r="B45" s="8" t="s">
        <v>104</v>
      </c>
      <c r="C45" s="8" t="s">
        <v>18</v>
      </c>
      <c r="D45" s="29" t="s">
        <v>2</v>
      </c>
      <c r="E45" s="357"/>
      <c r="F45" s="358">
        <f>'App 6 - Residual Waste'!F45</f>
        <v>67571.86</v>
      </c>
      <c r="G45" s="359">
        <f t="shared" si="0"/>
        <v>21.516000433046546</v>
      </c>
      <c r="H45" s="360">
        <f t="shared" si="1"/>
        <v>7.0361800197512299</v>
      </c>
      <c r="I45" s="361"/>
      <c r="J45" s="362"/>
      <c r="K45" s="363">
        <f>'App 4 - Recyclables'!F46</f>
        <v>9807.6200000000008</v>
      </c>
      <c r="L45" s="364">
        <f t="shared" si="6"/>
        <v>3.1229087991237177</v>
      </c>
      <c r="M45" s="364">
        <f t="shared" si="7"/>
        <v>1.0212561839397727</v>
      </c>
      <c r="N45" s="357"/>
      <c r="O45" s="365">
        <f>'App 5 - Organics'!F45</f>
        <v>0</v>
      </c>
      <c r="P45" s="366"/>
      <c r="Q45" s="367"/>
      <c r="R45" s="368">
        <f>'App 5 - Organics'!J45</f>
        <v>0</v>
      </c>
      <c r="S45" s="369"/>
      <c r="T45" s="370"/>
      <c r="V45" s="371">
        <f>'App 1 - Services'!G45</f>
        <v>68590</v>
      </c>
      <c r="W45" s="372">
        <f>'App 1 - Services'!M45</f>
        <v>60395</v>
      </c>
      <c r="X45" s="373">
        <f>'App 1 - Services'!N45</f>
        <v>60395</v>
      </c>
      <c r="Y45" s="374">
        <v>0</v>
      </c>
      <c r="Z45" s="368">
        <v>0</v>
      </c>
      <c r="AA45" s="2">
        <v>1</v>
      </c>
      <c r="AB45" s="375">
        <f>'App 1 - Services'!F45</f>
        <v>209742</v>
      </c>
      <c r="AC45" s="372">
        <f t="shared" si="10"/>
        <v>184682.43315352092</v>
      </c>
      <c r="AD45" s="373">
        <f t="shared" si="11"/>
        <v>184682.43315352092</v>
      </c>
      <c r="AE45" s="374">
        <f t="shared" si="12"/>
        <v>0</v>
      </c>
      <c r="AF45" s="368">
        <f t="shared" si="13"/>
        <v>0</v>
      </c>
      <c r="AG45" s="376"/>
      <c r="AH45" s="377">
        <f t="shared" si="3"/>
        <v>0</v>
      </c>
      <c r="AI45" s="377">
        <f t="shared" si="4"/>
        <v>0</v>
      </c>
      <c r="AJ45" s="377">
        <f t="shared" si="5"/>
        <v>0</v>
      </c>
      <c r="AK45" s="369"/>
      <c r="AL45" s="370"/>
    </row>
    <row r="46" spans="1:38" x14ac:dyDescent="0.2">
      <c r="A46" s="8">
        <v>12870</v>
      </c>
      <c r="B46" s="8" t="s">
        <v>105</v>
      </c>
      <c r="C46" s="8" t="s">
        <v>66</v>
      </c>
      <c r="D46" s="29" t="s">
        <v>1</v>
      </c>
      <c r="E46" s="357"/>
      <c r="F46" s="358">
        <f>'App 6 - Residual Waste'!F46</f>
        <v>1917</v>
      </c>
      <c r="G46" s="359">
        <f t="shared" si="0"/>
        <v>6.0934520025429117</v>
      </c>
      <c r="H46" s="360">
        <f t="shared" si="1"/>
        <v>4.6641586392445316</v>
      </c>
      <c r="I46" s="361"/>
      <c r="J46" s="362"/>
      <c r="K46" s="363">
        <f>'App 4 - Recyclables'!F47</f>
        <v>1136</v>
      </c>
      <c r="L46" s="364">
        <f t="shared" si="6"/>
        <v>3.8713722924249243</v>
      </c>
      <c r="M46" s="364">
        <f t="shared" si="7"/>
        <v>2.9632947819906059</v>
      </c>
      <c r="N46" s="357"/>
      <c r="O46" s="365">
        <f>'App 5 - Organics'!F46</f>
        <v>0</v>
      </c>
      <c r="P46" s="366"/>
      <c r="Q46" s="367"/>
      <c r="R46" s="368">
        <f>'App 5 - Organics'!J46</f>
        <v>3414</v>
      </c>
      <c r="S46" s="369">
        <f t="shared" si="8"/>
        <v>11.649014576622809</v>
      </c>
      <c r="T46" s="370">
        <f t="shared" si="9"/>
        <v>8.9165963650106121</v>
      </c>
      <c r="V46" s="371">
        <f>'App 1 - Services'!G46</f>
        <v>9904</v>
      </c>
      <c r="W46" s="372">
        <f>'App 1 - Services'!M46</f>
        <v>6050</v>
      </c>
      <c r="X46" s="373">
        <f>'App 1 - Services'!N46</f>
        <v>5643</v>
      </c>
      <c r="Y46" s="374">
        <v>0</v>
      </c>
      <c r="Z46" s="368">
        <v>5636</v>
      </c>
      <c r="AB46" s="375">
        <f>'App 1 - Services'!F46</f>
        <v>12939</v>
      </c>
      <c r="AC46" s="372">
        <f t="shared" si="10"/>
        <v>7903.9731421647821</v>
      </c>
      <c r="AD46" s="373">
        <f t="shared" si="11"/>
        <v>7372.251312600969</v>
      </c>
      <c r="AE46" s="374">
        <f t="shared" si="12"/>
        <v>0</v>
      </c>
      <c r="AF46" s="368">
        <f t="shared" si="13"/>
        <v>7363.1062197092078</v>
      </c>
      <c r="AG46" s="376" t="s">
        <v>13</v>
      </c>
      <c r="AH46" s="377">
        <f t="shared" si="3"/>
        <v>5636</v>
      </c>
      <c r="AI46" s="377">
        <f t="shared" si="4"/>
        <v>7363.1062197092078</v>
      </c>
      <c r="AJ46" s="377">
        <f t="shared" si="5"/>
        <v>3414</v>
      </c>
      <c r="AK46" s="369"/>
      <c r="AL46" s="370">
        <f>(AJ46*1000)/AF46/52</f>
        <v>8.9165963650106121</v>
      </c>
    </row>
    <row r="47" spans="1:38" x14ac:dyDescent="0.2">
      <c r="A47" s="8">
        <v>12900</v>
      </c>
      <c r="B47" s="8" t="s">
        <v>106</v>
      </c>
      <c r="C47" s="8" t="s">
        <v>38</v>
      </c>
      <c r="D47" s="29" t="s">
        <v>1</v>
      </c>
      <c r="E47" s="357"/>
      <c r="F47" s="358">
        <f>'App 6 - Residual Waste'!F47</f>
        <v>1669</v>
      </c>
      <c r="G47" s="359">
        <f t="shared" si="0"/>
        <v>12.88484698761696</v>
      </c>
      <c r="H47" s="360">
        <f t="shared" si="1"/>
        <v>6.0669618235241582</v>
      </c>
      <c r="I47" s="361"/>
      <c r="J47" s="362"/>
      <c r="K47" s="363">
        <f>'App 4 - Recyclables'!F48</f>
        <v>395</v>
      </c>
      <c r="L47" s="364">
        <f t="shared" si="6"/>
        <v>2.0037335389485218</v>
      </c>
      <c r="M47" s="364">
        <f t="shared" si="7"/>
        <v>0.94347840505973934</v>
      </c>
      <c r="N47" s="357"/>
      <c r="O47" s="365">
        <f>'App 5 - Organics'!F47</f>
        <v>0</v>
      </c>
      <c r="P47" s="366"/>
      <c r="Q47" s="367"/>
      <c r="R47" s="368">
        <f>'App 5 - Organics'!J47</f>
        <v>1219</v>
      </c>
      <c r="S47" s="369">
        <f t="shared" si="8"/>
        <v>6.8625022518465135</v>
      </c>
      <c r="T47" s="370">
        <f t="shared" si="9"/>
        <v>3.2312792861113855</v>
      </c>
      <c r="V47" s="371">
        <f>'App 1 - Services'!G47</f>
        <v>4379</v>
      </c>
      <c r="W47" s="372">
        <f>'App 1 - Services'!M47</f>
        <v>2491</v>
      </c>
      <c r="X47" s="373">
        <f>'App 1 - Services'!N47</f>
        <v>3791</v>
      </c>
      <c r="Y47" s="374">
        <v>0</v>
      </c>
      <c r="Z47" s="368">
        <v>3416</v>
      </c>
      <c r="AB47" s="375">
        <f>'App 1 - Services'!F47</f>
        <v>9300</v>
      </c>
      <c r="AC47" s="372">
        <f t="shared" si="10"/>
        <v>5290.3174240694216</v>
      </c>
      <c r="AD47" s="373">
        <f t="shared" si="11"/>
        <v>8051.2217401233165</v>
      </c>
      <c r="AE47" s="374">
        <f t="shared" si="12"/>
        <v>0</v>
      </c>
      <c r="AF47" s="368">
        <f t="shared" si="13"/>
        <v>7254.8070335693083</v>
      </c>
      <c r="AG47" s="376" t="s">
        <v>13</v>
      </c>
      <c r="AH47" s="377">
        <f t="shared" si="3"/>
        <v>3416</v>
      </c>
      <c r="AI47" s="377">
        <f t="shared" si="4"/>
        <v>7254.8070335693083</v>
      </c>
      <c r="AJ47" s="377">
        <f t="shared" si="5"/>
        <v>1219</v>
      </c>
      <c r="AK47" s="369"/>
      <c r="AL47" s="370">
        <f>(AJ47*1000)/AF47/52</f>
        <v>3.2312792861113855</v>
      </c>
    </row>
    <row r="48" spans="1:38" x14ac:dyDescent="0.2">
      <c r="A48" s="8">
        <v>12930</v>
      </c>
      <c r="B48" s="8" t="s">
        <v>48</v>
      </c>
      <c r="C48" s="8" t="s">
        <v>17</v>
      </c>
      <c r="D48" s="29" t="s">
        <v>2</v>
      </c>
      <c r="E48" s="378"/>
      <c r="F48" s="358">
        <f>'App 6 - Residual Waste'!F48</f>
        <v>31093</v>
      </c>
      <c r="G48" s="359">
        <f t="shared" si="0"/>
        <v>16.084094784062504</v>
      </c>
      <c r="H48" s="360">
        <f t="shared" si="1"/>
        <v>6.1462122262955567</v>
      </c>
      <c r="I48" s="361"/>
      <c r="J48" s="362"/>
      <c r="K48" s="363">
        <f>'App 4 - Recyclables'!F49</f>
        <v>9377</v>
      </c>
      <c r="L48" s="364">
        <f t="shared" si="6"/>
        <v>3.9734465125029876</v>
      </c>
      <c r="M48" s="364">
        <f t="shared" si="7"/>
        <v>1.5183723960565287</v>
      </c>
      <c r="N48" s="357"/>
      <c r="O48" s="365">
        <f>'App 5 - Organics'!F48</f>
        <v>12575</v>
      </c>
      <c r="P48" s="366">
        <f t="shared" si="14"/>
        <v>6.6321181218474363</v>
      </c>
      <c r="Q48" s="367">
        <f t="shared" si="15"/>
        <v>2.5343300965327509</v>
      </c>
      <c r="R48" s="368">
        <f>'App 5 - Organics'!J48</f>
        <v>0</v>
      </c>
      <c r="S48" s="369"/>
      <c r="T48" s="370"/>
      <c r="V48" s="371">
        <f>'App 1 - Services'!G48</f>
        <v>60396</v>
      </c>
      <c r="W48" s="372">
        <f>'App 1 - Services'!M48</f>
        <v>37176</v>
      </c>
      <c r="X48" s="373">
        <f>'App 1 - Services'!N48</f>
        <v>45383</v>
      </c>
      <c r="Y48" s="374">
        <v>36463</v>
      </c>
      <c r="Z48" s="368">
        <v>0</v>
      </c>
      <c r="AB48" s="375">
        <f>'App 1 - Services'!F48</f>
        <v>158051</v>
      </c>
      <c r="AC48" s="372">
        <f t="shared" si="10"/>
        <v>97286.309954301614</v>
      </c>
      <c r="AD48" s="373">
        <f t="shared" si="11"/>
        <v>118763.30440757667</v>
      </c>
      <c r="AE48" s="374">
        <f t="shared" si="12"/>
        <v>95420.451900788132</v>
      </c>
      <c r="AF48" s="368">
        <f t="shared" si="13"/>
        <v>0</v>
      </c>
      <c r="AG48" s="376"/>
      <c r="AH48" s="377">
        <f t="shared" si="3"/>
        <v>36463</v>
      </c>
      <c r="AI48" s="377">
        <f t="shared" si="4"/>
        <v>95420.451900788132</v>
      </c>
      <c r="AJ48" s="377">
        <f t="shared" si="5"/>
        <v>12575</v>
      </c>
      <c r="AK48" s="369">
        <f>(AJ48*1000)/AE48/52</f>
        <v>2.5343300965327509</v>
      </c>
      <c r="AL48" s="370"/>
    </row>
    <row r="49" spans="1:38" x14ac:dyDescent="0.2">
      <c r="A49" s="8">
        <v>12950</v>
      </c>
      <c r="B49" s="8" t="s">
        <v>107</v>
      </c>
      <c r="C49" s="8" t="s">
        <v>38</v>
      </c>
      <c r="D49" s="29" t="s">
        <v>1</v>
      </c>
      <c r="E49" s="357"/>
      <c r="F49" s="358">
        <f>'App 6 - Residual Waste'!F49</f>
        <v>1067.9000000000001</v>
      </c>
      <c r="G49" s="359">
        <f t="shared" si="0"/>
        <v>9.4507770186555273</v>
      </c>
      <c r="H49" s="360">
        <f t="shared" si="1"/>
        <v>5.6410764659972195</v>
      </c>
      <c r="I49" s="361"/>
      <c r="J49" s="362"/>
      <c r="K49" s="363">
        <f>'App 4 - Recyclables'!F50</f>
        <v>139</v>
      </c>
      <c r="L49" s="364">
        <f t="shared" si="6"/>
        <v>1.2427135858098202</v>
      </c>
      <c r="M49" s="364">
        <f t="shared" si="7"/>
        <v>0.7417635977495608</v>
      </c>
      <c r="N49" s="357"/>
      <c r="O49" s="365">
        <f>'App 5 - Organics'!F49</f>
        <v>0</v>
      </c>
      <c r="P49" s="366"/>
      <c r="Q49" s="367"/>
      <c r="R49" s="368">
        <f>'App 5 - Organics'!J49</f>
        <v>0</v>
      </c>
      <c r="S49" s="369"/>
      <c r="T49" s="370"/>
      <c r="V49" s="371">
        <f>'App 1 - Services'!G49</f>
        <v>2572</v>
      </c>
      <c r="W49" s="372">
        <f>'App 1 - Services'!M49</f>
        <v>2173</v>
      </c>
      <c r="X49" s="373">
        <f>'App 1 - Services'!N49</f>
        <v>2151</v>
      </c>
      <c r="Y49" s="374">
        <v>0</v>
      </c>
      <c r="Z49" s="368">
        <v>0</v>
      </c>
      <c r="AA49" s="2">
        <v>1</v>
      </c>
      <c r="AB49" s="375">
        <f>'App 1 - Services'!F49</f>
        <v>4309</v>
      </c>
      <c r="AC49" s="372">
        <f t="shared" si="10"/>
        <v>3640.5353810264387</v>
      </c>
      <c r="AD49" s="373">
        <f t="shared" si="11"/>
        <v>3603.6776827371691</v>
      </c>
      <c r="AE49" s="374">
        <f t="shared" si="12"/>
        <v>0</v>
      </c>
      <c r="AF49" s="368">
        <f t="shared" si="13"/>
        <v>0</v>
      </c>
      <c r="AG49" s="376"/>
      <c r="AH49" s="377">
        <f t="shared" si="3"/>
        <v>0</v>
      </c>
      <c r="AI49" s="377">
        <f t="shared" si="4"/>
        <v>0</v>
      </c>
      <c r="AJ49" s="377">
        <f t="shared" si="5"/>
        <v>0</v>
      </c>
      <c r="AK49" s="369"/>
      <c r="AL49" s="370"/>
    </row>
    <row r="50" spans="1:38" x14ac:dyDescent="0.2">
      <c r="A50" s="8">
        <v>13010</v>
      </c>
      <c r="B50" s="8" t="s">
        <v>108</v>
      </c>
      <c r="C50" s="8" t="s">
        <v>16</v>
      </c>
      <c r="D50" s="29" t="s">
        <v>1</v>
      </c>
      <c r="E50" s="357"/>
      <c r="F50" s="358">
        <f>'App 6 - Residual Waste'!F50</f>
        <v>1674.25</v>
      </c>
      <c r="G50" s="359">
        <f t="shared" si="0"/>
        <v>8.2450999704520829</v>
      </c>
      <c r="H50" s="360">
        <f t="shared" si="1"/>
        <v>4.9448585983654665</v>
      </c>
      <c r="I50" s="361"/>
      <c r="J50" s="362"/>
      <c r="K50" s="363">
        <f>'App 4 - Recyclables'!F51</f>
        <v>441.33</v>
      </c>
      <c r="L50" s="364">
        <f t="shared" si="6"/>
        <v>2.1733970255097015</v>
      </c>
      <c r="M50" s="364">
        <f t="shared" si="7"/>
        <v>1.3034579335324066</v>
      </c>
      <c r="N50" s="357"/>
      <c r="O50" s="365">
        <f>'App 5 - Organics'!F50</f>
        <v>0</v>
      </c>
      <c r="P50" s="366"/>
      <c r="Q50" s="367"/>
      <c r="R50" s="368">
        <f>'App 5 - Organics'!J50</f>
        <v>0</v>
      </c>
      <c r="S50" s="369"/>
      <c r="T50" s="370"/>
      <c r="V50" s="371">
        <f>'App 1 - Services'!G50</f>
        <v>5391</v>
      </c>
      <c r="W50" s="372">
        <f>'App 1 - Services'!M50</f>
        <v>3905</v>
      </c>
      <c r="X50" s="373">
        <f>'App 1 - Services'!N50</f>
        <v>3905</v>
      </c>
      <c r="Y50" s="374">
        <v>0</v>
      </c>
      <c r="Z50" s="368">
        <v>0</v>
      </c>
      <c r="AA50" s="2">
        <v>1</v>
      </c>
      <c r="AB50" s="375">
        <f>'App 1 - Services'!F50</f>
        <v>8989</v>
      </c>
      <c r="AC50" s="372">
        <f t="shared" si="10"/>
        <v>6511.2307549619736</v>
      </c>
      <c r="AD50" s="373">
        <f t="shared" si="11"/>
        <v>6511.2307549619736</v>
      </c>
      <c r="AE50" s="374">
        <f t="shared" si="12"/>
        <v>0</v>
      </c>
      <c r="AF50" s="368">
        <f t="shared" si="13"/>
        <v>0</v>
      </c>
      <c r="AG50" s="376"/>
      <c r="AH50" s="377">
        <f t="shared" si="3"/>
        <v>0</v>
      </c>
      <c r="AI50" s="377">
        <f t="shared" si="4"/>
        <v>0</v>
      </c>
      <c r="AJ50" s="377">
        <f t="shared" si="5"/>
        <v>0</v>
      </c>
      <c r="AK50" s="369"/>
      <c r="AL50" s="370"/>
    </row>
    <row r="51" spans="1:38" x14ac:dyDescent="0.2">
      <c r="A51" s="8">
        <v>13310</v>
      </c>
      <c r="B51" s="8" t="s">
        <v>109</v>
      </c>
      <c r="C51" s="8" t="s">
        <v>67</v>
      </c>
      <c r="D51" s="29" t="s">
        <v>1</v>
      </c>
      <c r="E51" s="357"/>
      <c r="F51" s="358">
        <f>'App 6 - Residual Waste'!F51</f>
        <v>5646</v>
      </c>
      <c r="G51" s="359">
        <f t="shared" si="0"/>
        <v>9.688312936282955</v>
      </c>
      <c r="H51" s="360">
        <f t="shared" si="1"/>
        <v>5.2490456085847308</v>
      </c>
      <c r="I51" s="361"/>
      <c r="J51" s="362"/>
      <c r="K51" s="363">
        <f>'App 4 - Recyclables'!F52</f>
        <v>1544.64</v>
      </c>
      <c r="L51" s="364">
        <f t="shared" si="6"/>
        <v>2.4226910843010674</v>
      </c>
      <c r="M51" s="364">
        <f t="shared" si="7"/>
        <v>1.3125934391924035</v>
      </c>
      <c r="N51" s="357"/>
      <c r="O51" s="365">
        <f>'App 5 - Organics'!F51</f>
        <v>0</v>
      </c>
      <c r="P51" s="366"/>
      <c r="Q51" s="367"/>
      <c r="R51" s="368">
        <f>'App 5 - Organics'!J51</f>
        <v>3555.8</v>
      </c>
      <c r="S51" s="369">
        <f t="shared" si="8"/>
        <v>5.5693736138433971</v>
      </c>
      <c r="T51" s="370">
        <f t="shared" si="9"/>
        <v>3.0174392902639156</v>
      </c>
      <c r="V51" s="371">
        <f>'App 1 - Services'!G51</f>
        <v>17722</v>
      </c>
      <c r="W51" s="372">
        <f>'App 1 - Services'!M51</f>
        <v>11207</v>
      </c>
      <c r="X51" s="373">
        <f>'App 1 - Services'!N51</f>
        <v>12261</v>
      </c>
      <c r="Y51" s="374">
        <v>0</v>
      </c>
      <c r="Z51" s="368">
        <v>12278</v>
      </c>
      <c r="AB51" s="375">
        <f>'App 1 - Services'!F51</f>
        <v>32710</v>
      </c>
      <c r="AC51" s="372">
        <f t="shared" si="10"/>
        <v>20685.078997855773</v>
      </c>
      <c r="AD51" s="373">
        <f t="shared" si="11"/>
        <v>22630.476808486626</v>
      </c>
      <c r="AE51" s="374">
        <f t="shared" si="12"/>
        <v>0</v>
      </c>
      <c r="AF51" s="368">
        <f t="shared" si="13"/>
        <v>22661.854192529063</v>
      </c>
      <c r="AG51" s="376" t="s">
        <v>13</v>
      </c>
      <c r="AH51" s="377">
        <f t="shared" si="3"/>
        <v>12278</v>
      </c>
      <c r="AI51" s="377">
        <f t="shared" si="4"/>
        <v>22661.854192529063</v>
      </c>
      <c r="AJ51" s="377">
        <f t="shared" si="5"/>
        <v>3555.8</v>
      </c>
      <c r="AK51" s="369"/>
      <c r="AL51" s="370">
        <f>(AJ51*1000)/AF51/52</f>
        <v>3.0174392902639156</v>
      </c>
    </row>
    <row r="52" spans="1:38" x14ac:dyDescent="0.2">
      <c r="A52" s="8">
        <v>13340</v>
      </c>
      <c r="B52" s="8" t="s">
        <v>110</v>
      </c>
      <c r="C52" s="8" t="s">
        <v>21</v>
      </c>
      <c r="D52" s="29" t="s">
        <v>1</v>
      </c>
      <c r="E52" s="357"/>
      <c r="F52" s="358">
        <f>'App 6 - Residual Waste'!F52</f>
        <v>2500</v>
      </c>
      <c r="G52" s="359">
        <f t="shared" si="0"/>
        <v>14.485363988226295</v>
      </c>
      <c r="H52" s="360">
        <f t="shared" si="1"/>
        <v>9.0088965371948255</v>
      </c>
      <c r="I52" s="361"/>
      <c r="J52" s="362"/>
      <c r="K52" s="363">
        <f>'App 4 - Recyclables'!F53</f>
        <v>531</v>
      </c>
      <c r="L52" s="364">
        <f t="shared" si="6"/>
        <v>3.0766913110992653</v>
      </c>
      <c r="M52" s="364">
        <f t="shared" si="7"/>
        <v>1.9134896245001809</v>
      </c>
      <c r="N52" s="357"/>
      <c r="O52" s="365">
        <f>'App 5 - Organics'!F52</f>
        <v>0</v>
      </c>
      <c r="P52" s="366"/>
      <c r="Q52" s="367"/>
      <c r="R52" s="368">
        <f>'App 5 - Organics'!J52</f>
        <v>0</v>
      </c>
      <c r="S52" s="369"/>
      <c r="T52" s="370"/>
      <c r="V52" s="371">
        <f>'App 1 - Services'!G52</f>
        <v>7118</v>
      </c>
      <c r="W52" s="372">
        <f>'App 1 - Services'!M52</f>
        <v>3319</v>
      </c>
      <c r="X52" s="373">
        <f>'App 1 - Services'!N52</f>
        <v>3319</v>
      </c>
      <c r="Y52" s="374">
        <v>0</v>
      </c>
      <c r="Z52" s="368">
        <v>0</v>
      </c>
      <c r="AA52" s="2">
        <v>1</v>
      </c>
      <c r="AB52" s="375">
        <f>'App 1 - Services'!F52</f>
        <v>11445</v>
      </c>
      <c r="AC52" s="372">
        <f t="shared" si="10"/>
        <v>5336.6050856982301</v>
      </c>
      <c r="AD52" s="373">
        <f t="shared" si="11"/>
        <v>5336.6050856982301</v>
      </c>
      <c r="AE52" s="374">
        <f t="shared" si="12"/>
        <v>0</v>
      </c>
      <c r="AF52" s="368">
        <f t="shared" si="13"/>
        <v>0</v>
      </c>
      <c r="AG52" s="376"/>
      <c r="AH52" s="377">
        <f t="shared" si="3"/>
        <v>0</v>
      </c>
      <c r="AI52" s="377">
        <f t="shared" si="4"/>
        <v>0</v>
      </c>
      <c r="AJ52" s="377">
        <f t="shared" si="5"/>
        <v>0</v>
      </c>
      <c r="AK52" s="369"/>
      <c r="AL52" s="370"/>
    </row>
    <row r="53" spans="1:38" x14ac:dyDescent="0.2">
      <c r="A53" s="8">
        <v>13450</v>
      </c>
      <c r="B53" s="8" t="s">
        <v>111</v>
      </c>
      <c r="C53" s="8" t="s">
        <v>68</v>
      </c>
      <c r="D53" s="29" t="s">
        <v>1</v>
      </c>
      <c r="E53" s="378"/>
      <c r="F53" s="358">
        <f>'App 6 - Residual Waste'!F53</f>
        <v>9416</v>
      </c>
      <c r="G53" s="359">
        <f t="shared" si="0"/>
        <v>20.722925506628869</v>
      </c>
      <c r="H53" s="360">
        <f t="shared" si="1"/>
        <v>8.9446476709468783</v>
      </c>
      <c r="I53" s="361"/>
      <c r="J53" s="362"/>
      <c r="K53" s="363">
        <f>'App 4 - Recyclables'!F54</f>
        <v>1113</v>
      </c>
      <c r="L53" s="364">
        <f t="shared" si="6"/>
        <v>2.4495131785129498</v>
      </c>
      <c r="M53" s="364">
        <f t="shared" si="7"/>
        <v>1.0572847130165544</v>
      </c>
      <c r="N53" s="357"/>
      <c r="O53" s="365">
        <f>'App 5 - Organics'!F53</f>
        <v>0</v>
      </c>
      <c r="P53" s="366"/>
      <c r="Q53" s="367"/>
      <c r="R53" s="368">
        <f>'App 5 - Organics'!J53</f>
        <v>0</v>
      </c>
      <c r="S53" s="369"/>
      <c r="T53" s="370"/>
      <c r="V53" s="371">
        <f>'App 1 - Services'!G53</f>
        <v>11711</v>
      </c>
      <c r="W53" s="372">
        <f>'App 1 - Services'!M53</f>
        <v>8738</v>
      </c>
      <c r="X53" s="373">
        <f>'App 1 - Services'!N53</f>
        <v>8738</v>
      </c>
      <c r="Y53" s="374">
        <v>0</v>
      </c>
      <c r="Z53" s="368">
        <v>0</v>
      </c>
      <c r="AA53" s="2">
        <v>1</v>
      </c>
      <c r="AB53" s="375">
        <f>'App 1 - Services'!F53</f>
        <v>27132</v>
      </c>
      <c r="AC53" s="372">
        <f t="shared" si="10"/>
        <v>20244.164973102212</v>
      </c>
      <c r="AD53" s="373">
        <f t="shared" si="11"/>
        <v>20244.164973102212</v>
      </c>
      <c r="AE53" s="374">
        <f t="shared" si="12"/>
        <v>0</v>
      </c>
      <c r="AF53" s="368">
        <f t="shared" si="13"/>
        <v>0</v>
      </c>
      <c r="AG53" s="376"/>
      <c r="AH53" s="377">
        <f t="shared" si="3"/>
        <v>0</v>
      </c>
      <c r="AI53" s="377">
        <f t="shared" si="4"/>
        <v>0</v>
      </c>
      <c r="AJ53" s="377">
        <f t="shared" si="5"/>
        <v>0</v>
      </c>
      <c r="AK53" s="369"/>
      <c r="AL53" s="370"/>
    </row>
    <row r="54" spans="1:38" x14ac:dyDescent="0.2">
      <c r="A54" s="8">
        <v>13550</v>
      </c>
      <c r="B54" s="8" t="s">
        <v>70</v>
      </c>
      <c r="C54" s="8" t="s">
        <v>16</v>
      </c>
      <c r="D54" s="29" t="s">
        <v>1</v>
      </c>
      <c r="E54" s="357"/>
      <c r="F54" s="358">
        <f>'App 6 - Residual Waste'!F54</f>
        <v>2488.73</v>
      </c>
      <c r="G54" s="359">
        <f t="shared" si="0"/>
        <v>9.4138851903407375</v>
      </c>
      <c r="H54" s="360">
        <f t="shared" si="1"/>
        <v>3.875429995150061</v>
      </c>
      <c r="I54" s="361"/>
      <c r="J54" s="362"/>
      <c r="K54" s="363">
        <f>'App 4 - Recyclables'!F55</f>
        <v>857.62</v>
      </c>
      <c r="L54" s="364">
        <f t="shared" si="6"/>
        <v>3.3211220917624464</v>
      </c>
      <c r="M54" s="364">
        <f t="shared" si="7"/>
        <v>1.3672119334085313</v>
      </c>
      <c r="N54" s="357"/>
      <c r="O54" s="365">
        <f>'App 5 - Organics'!F54</f>
        <v>1161.56</v>
      </c>
      <c r="P54" s="366">
        <f t="shared" si="14"/>
        <v>6.3011825973744164</v>
      </c>
      <c r="Q54" s="367">
        <f t="shared" si="15"/>
        <v>2.594018468361893</v>
      </c>
      <c r="R54" s="368">
        <f>'App 5 - Organics'!J54</f>
        <v>0</v>
      </c>
      <c r="S54" s="369"/>
      <c r="T54" s="370"/>
      <c r="V54" s="371">
        <f>'App 1 - Services'!G54</f>
        <v>5467</v>
      </c>
      <c r="W54" s="372">
        <f>'App 1 - Services'!M54</f>
        <v>5084</v>
      </c>
      <c r="X54" s="373">
        <f>'App 1 - Services'!N54</f>
        <v>4966</v>
      </c>
      <c r="Y54" s="374">
        <v>3545</v>
      </c>
      <c r="Z54" s="368">
        <v>0</v>
      </c>
      <c r="AB54" s="375">
        <f>'App 1 - Services'!F54</f>
        <v>13280</v>
      </c>
      <c r="AC54" s="372">
        <f t="shared" si="10"/>
        <v>12349.646972745564</v>
      </c>
      <c r="AD54" s="373">
        <f t="shared" si="11"/>
        <v>12063.010792024876</v>
      </c>
      <c r="AE54" s="374">
        <f t="shared" si="12"/>
        <v>8611.2310224986268</v>
      </c>
      <c r="AF54" s="368">
        <f t="shared" si="13"/>
        <v>0</v>
      </c>
      <c r="AG54" s="376"/>
      <c r="AH54" s="377">
        <f t="shared" si="3"/>
        <v>3545</v>
      </c>
      <c r="AI54" s="377">
        <f t="shared" si="4"/>
        <v>8611.2310224986268</v>
      </c>
      <c r="AJ54" s="377">
        <f t="shared" si="5"/>
        <v>1161.56</v>
      </c>
      <c r="AK54" s="369">
        <f>(AJ54*1000)/AE54/52</f>
        <v>2.594018468361893</v>
      </c>
      <c r="AL54" s="370"/>
    </row>
    <row r="55" spans="1:38" x14ac:dyDescent="0.2">
      <c r="A55" s="8">
        <v>13660</v>
      </c>
      <c r="B55" s="8" t="s">
        <v>112</v>
      </c>
      <c r="C55" s="8" t="s">
        <v>16</v>
      </c>
      <c r="D55" s="29" t="s">
        <v>1</v>
      </c>
      <c r="E55" s="357"/>
      <c r="F55" s="358">
        <f>'App 6 - Residual Waste'!F55</f>
        <v>468</v>
      </c>
      <c r="G55" s="359">
        <f t="shared" si="0"/>
        <v>6.6176470588235299</v>
      </c>
      <c r="H55" s="360">
        <f t="shared" si="1"/>
        <v>4.4233746130030962</v>
      </c>
      <c r="I55" s="361"/>
      <c r="J55" s="362"/>
      <c r="K55" s="363">
        <f>'App 4 - Recyclables'!F56</f>
        <v>149</v>
      </c>
      <c r="L55" s="364">
        <f t="shared" si="6"/>
        <v>2.1069004524886878</v>
      </c>
      <c r="M55" s="364">
        <f t="shared" si="7"/>
        <v>1.4082966182424386</v>
      </c>
      <c r="N55" s="357"/>
      <c r="O55" s="365">
        <f>'App 5 - Organics'!F55</f>
        <v>0</v>
      </c>
      <c r="P55" s="366"/>
      <c r="Q55" s="367"/>
      <c r="R55" s="368">
        <f>'App 5 - Organics'!J55</f>
        <v>191</v>
      </c>
      <c r="S55" s="369">
        <f t="shared" si="8"/>
        <v>2.7007918552036196</v>
      </c>
      <c r="T55" s="370">
        <f t="shared" si="9"/>
        <v>1.8052661347939984</v>
      </c>
      <c r="V55" s="371">
        <f>'App 1 - Services'!G55</f>
        <v>3302</v>
      </c>
      <c r="W55" s="372">
        <f>'App 1 - Services'!M55</f>
        <v>1360</v>
      </c>
      <c r="X55" s="373">
        <f>'App 1 - Services'!N55</f>
        <v>1360</v>
      </c>
      <c r="Y55" s="374">
        <v>0</v>
      </c>
      <c r="Z55" s="368">
        <v>1360</v>
      </c>
      <c r="AB55" s="375">
        <f>'App 1 - Services'!F55</f>
        <v>4940</v>
      </c>
      <c r="AC55" s="372">
        <f t="shared" si="10"/>
        <v>2034.6456692913387</v>
      </c>
      <c r="AD55" s="373">
        <f t="shared" si="11"/>
        <v>2034.6456692913387</v>
      </c>
      <c r="AE55" s="374">
        <f t="shared" si="12"/>
        <v>0</v>
      </c>
      <c r="AF55" s="368">
        <f t="shared" si="13"/>
        <v>2034.6456692913387</v>
      </c>
      <c r="AG55" s="376" t="s">
        <v>13</v>
      </c>
      <c r="AH55" s="377">
        <f t="shared" si="3"/>
        <v>1360</v>
      </c>
      <c r="AI55" s="377">
        <f t="shared" si="4"/>
        <v>2034.6456692913387</v>
      </c>
      <c r="AJ55" s="377">
        <f t="shared" si="5"/>
        <v>191</v>
      </c>
      <c r="AK55" s="369"/>
      <c r="AL55" s="370">
        <f>(AJ55*1000)/AF55/52</f>
        <v>1.8052661347939984</v>
      </c>
    </row>
    <row r="56" spans="1:38" x14ac:dyDescent="0.2">
      <c r="A56" s="8">
        <v>13800</v>
      </c>
      <c r="B56" s="8" t="s">
        <v>113</v>
      </c>
      <c r="C56" s="8" t="s">
        <v>18</v>
      </c>
      <c r="D56" s="29" t="s">
        <v>2</v>
      </c>
      <c r="E56" s="357"/>
      <c r="F56" s="358">
        <f>'App 6 - Residual Waste'!F56</f>
        <v>19434</v>
      </c>
      <c r="G56" s="359">
        <f t="shared" si="0"/>
        <v>14.914033649817201</v>
      </c>
      <c r="H56" s="360">
        <f t="shared" si="1"/>
        <v>5.8858747155464393</v>
      </c>
      <c r="I56" s="361"/>
      <c r="J56" s="362"/>
      <c r="K56" s="363">
        <f>'App 4 - Recyclables'!F57</f>
        <v>4832</v>
      </c>
      <c r="L56" s="364">
        <f t="shared" si="6"/>
        <v>3.7081717914951486</v>
      </c>
      <c r="M56" s="364">
        <f t="shared" si="7"/>
        <v>1.4634427614243282</v>
      </c>
      <c r="N56" s="357"/>
      <c r="O56" s="365">
        <f>'App 5 - Organics'!F56</f>
        <v>5017</v>
      </c>
      <c r="P56" s="366">
        <f t="shared" si="14"/>
        <v>6.5911169033180235</v>
      </c>
      <c r="Q56" s="367">
        <f t="shared" si="15"/>
        <v>2.6012069732004259</v>
      </c>
      <c r="R56" s="368">
        <f>'App 5 - Organics'!J56</f>
        <v>0</v>
      </c>
      <c r="S56" s="369"/>
      <c r="T56" s="370"/>
      <c r="V56" s="371">
        <f>'App 1 - Services'!G56</f>
        <v>26898</v>
      </c>
      <c r="W56" s="372">
        <f>'App 1 - Services'!M56</f>
        <v>25059</v>
      </c>
      <c r="X56" s="373">
        <f>'App 1 - Services'!N56</f>
        <v>25059</v>
      </c>
      <c r="Y56" s="374">
        <v>14638</v>
      </c>
      <c r="Z56" s="368">
        <v>0</v>
      </c>
      <c r="AB56" s="375">
        <f>'App 1 - Services'!F56</f>
        <v>68156</v>
      </c>
      <c r="AC56" s="372">
        <f t="shared" si="10"/>
        <v>63496.215480704879</v>
      </c>
      <c r="AD56" s="373">
        <f t="shared" si="11"/>
        <v>63496.215480704879</v>
      </c>
      <c r="AE56" s="374">
        <f t="shared" si="12"/>
        <v>37090.769871365897</v>
      </c>
      <c r="AF56" s="368">
        <f t="shared" si="13"/>
        <v>0</v>
      </c>
      <c r="AG56" s="376"/>
      <c r="AH56" s="377">
        <f t="shared" si="3"/>
        <v>14638</v>
      </c>
      <c r="AI56" s="377">
        <f t="shared" si="4"/>
        <v>37090.769871365897</v>
      </c>
      <c r="AJ56" s="377">
        <f t="shared" si="5"/>
        <v>5017</v>
      </c>
      <c r="AK56" s="369">
        <f>(AJ56*1000)/AE56/52</f>
        <v>2.6012069732004259</v>
      </c>
      <c r="AL56" s="370"/>
    </row>
    <row r="57" spans="1:38" x14ac:dyDescent="0.2">
      <c r="A57" s="8">
        <v>13850</v>
      </c>
      <c r="B57" s="8" t="s">
        <v>114</v>
      </c>
      <c r="C57" s="8" t="s">
        <v>68</v>
      </c>
      <c r="D57" s="29" t="s">
        <v>1</v>
      </c>
      <c r="E57" s="357"/>
      <c r="F57" s="358">
        <f>'App 6 - Residual Waste'!F57</f>
        <v>1150</v>
      </c>
      <c r="G57" s="359">
        <f t="shared" si="0"/>
        <v>16.690856313497822</v>
      </c>
      <c r="H57" s="360">
        <f t="shared" si="1"/>
        <v>10.610194525788899</v>
      </c>
      <c r="I57" s="361"/>
      <c r="J57" s="362"/>
      <c r="K57" s="363">
        <f>'App 4 - Recyclables'!F58</f>
        <v>0</v>
      </c>
      <c r="L57" s="364"/>
      <c r="M57" s="364"/>
      <c r="N57" s="357"/>
      <c r="O57" s="365">
        <f>'App 5 - Organics'!F57</f>
        <v>0</v>
      </c>
      <c r="P57" s="366"/>
      <c r="Q57" s="367"/>
      <c r="R57" s="368">
        <f>'App 5 - Organics'!J57</f>
        <v>0</v>
      </c>
      <c r="S57" s="369"/>
      <c r="T57" s="370"/>
      <c r="V57" s="371">
        <f>'App 1 - Services'!G57</f>
        <v>1799</v>
      </c>
      <c r="W57" s="372">
        <f>'App 1 - Services'!M57</f>
        <v>1325</v>
      </c>
      <c r="X57" s="373">
        <f>'App 1 - Services'!N57</f>
        <v>0</v>
      </c>
      <c r="Y57" s="374">
        <v>0</v>
      </c>
      <c r="Z57" s="368">
        <v>0</v>
      </c>
      <c r="AA57" s="2">
        <v>1</v>
      </c>
      <c r="AB57" s="375">
        <f>'App 1 - Services'!F57</f>
        <v>2830</v>
      </c>
      <c r="AC57" s="372">
        <f t="shared" si="10"/>
        <v>2084.3524180100057</v>
      </c>
      <c r="AD57" s="373">
        <f t="shared" si="11"/>
        <v>0</v>
      </c>
      <c r="AE57" s="374">
        <f t="shared" si="12"/>
        <v>0</v>
      </c>
      <c r="AF57" s="368">
        <f t="shared" si="13"/>
        <v>0</v>
      </c>
      <c r="AG57" s="376"/>
      <c r="AH57" s="377">
        <f t="shared" si="3"/>
        <v>0</v>
      </c>
      <c r="AI57" s="377">
        <f t="shared" si="4"/>
        <v>0</v>
      </c>
      <c r="AJ57" s="377">
        <f t="shared" si="5"/>
        <v>0</v>
      </c>
      <c r="AK57" s="369"/>
      <c r="AL57" s="370"/>
    </row>
    <row r="58" spans="1:38" x14ac:dyDescent="0.2">
      <c r="A58" s="8">
        <v>13910</v>
      </c>
      <c r="B58" s="8" t="s">
        <v>115</v>
      </c>
      <c r="C58" s="8" t="s">
        <v>67</v>
      </c>
      <c r="D58" s="29" t="s">
        <v>1</v>
      </c>
      <c r="E58" s="357"/>
      <c r="F58" s="358">
        <f>'App 6 - Residual Waste'!F58</f>
        <v>9188</v>
      </c>
      <c r="G58" s="359">
        <f t="shared" si="0"/>
        <v>31.56910982531851</v>
      </c>
      <c r="H58" s="360">
        <f t="shared" si="1"/>
        <v>18.790629327861616</v>
      </c>
      <c r="I58" s="361"/>
      <c r="J58" s="362"/>
      <c r="K58" s="363">
        <f>'App 4 - Recyclables'!F59</f>
        <v>10487</v>
      </c>
      <c r="L58" s="364">
        <f t="shared" si="6"/>
        <v>37.457852325980113</v>
      </c>
      <c r="M58" s="364">
        <f t="shared" si="7"/>
        <v>22.29573853586383</v>
      </c>
      <c r="N58" s="357"/>
      <c r="O58" s="365">
        <f>'App 5 - Organics'!F58</f>
        <v>7332</v>
      </c>
      <c r="P58" s="366">
        <f t="shared" si="14"/>
        <v>30</v>
      </c>
      <c r="Q58" s="367">
        <f t="shared" si="15"/>
        <v>17.856660607634378</v>
      </c>
      <c r="R58" s="368">
        <f>'App 5 - Organics'!J58</f>
        <v>0</v>
      </c>
      <c r="S58" s="369"/>
      <c r="T58" s="370"/>
      <c r="V58" s="371">
        <f>'App 1 - Services'!G58</f>
        <v>11461</v>
      </c>
      <c r="W58" s="372">
        <f>'App 1 - Services'!M58</f>
        <v>5597</v>
      </c>
      <c r="X58" s="373">
        <f>'App 1 - Services'!N58</f>
        <v>5384</v>
      </c>
      <c r="Y58" s="374">
        <v>4700</v>
      </c>
      <c r="Z58" s="368">
        <v>0</v>
      </c>
      <c r="AB58" s="375">
        <f>'App 1 - Services'!F58</f>
        <v>19255</v>
      </c>
      <c r="AC58" s="372">
        <f t="shared" si="10"/>
        <v>9403.2139429369163</v>
      </c>
      <c r="AD58" s="373">
        <f t="shared" si="11"/>
        <v>9045.3642788587385</v>
      </c>
      <c r="AE58" s="374">
        <f t="shared" si="12"/>
        <v>7896.2132449175469</v>
      </c>
      <c r="AF58" s="368">
        <f t="shared" si="13"/>
        <v>0</v>
      </c>
      <c r="AG58" s="376"/>
      <c r="AH58" s="377">
        <f t="shared" si="3"/>
        <v>4700</v>
      </c>
      <c r="AI58" s="377">
        <f t="shared" si="4"/>
        <v>7896.2132449175469</v>
      </c>
      <c r="AJ58" s="377">
        <f t="shared" si="5"/>
        <v>7332</v>
      </c>
      <c r="AK58" s="369">
        <f>(AJ58*1000)/AE58/52</f>
        <v>17.856660607634378</v>
      </c>
      <c r="AL58" s="370"/>
    </row>
    <row r="59" spans="1:38" x14ac:dyDescent="0.2">
      <c r="A59" s="8">
        <v>14000</v>
      </c>
      <c r="B59" s="8" t="s">
        <v>116</v>
      </c>
      <c r="C59" s="8" t="s">
        <v>24</v>
      </c>
      <c r="D59" s="29" t="s">
        <v>2</v>
      </c>
      <c r="E59" s="378"/>
      <c r="F59" s="358">
        <f>'App 6 - Residual Waste'!F59</f>
        <v>31042</v>
      </c>
      <c r="G59" s="359">
        <f t="shared" si="0"/>
        <v>11.158159597411935</v>
      </c>
      <c r="H59" s="360">
        <f t="shared" si="1"/>
        <v>3.8745621427744075</v>
      </c>
      <c r="I59" s="361"/>
      <c r="J59" s="362"/>
      <c r="K59" s="363">
        <f>'App 4 - Recyclables'!F60</f>
        <v>9816</v>
      </c>
      <c r="L59" s="364">
        <f t="shared" si="6"/>
        <v>3.5283968368080516</v>
      </c>
      <c r="M59" s="364">
        <f t="shared" si="7"/>
        <v>1.2252014043384312</v>
      </c>
      <c r="N59" s="357"/>
      <c r="O59" s="365">
        <f>'App 5 - Organics'!F59</f>
        <v>19076</v>
      </c>
      <c r="P59" s="366">
        <f t="shared" si="14"/>
        <v>6.8569374550682962</v>
      </c>
      <c r="Q59" s="367">
        <f t="shared" si="15"/>
        <v>2.3810046851222406</v>
      </c>
      <c r="R59" s="368">
        <f>'App 5 - Organics'!J59</f>
        <v>0</v>
      </c>
      <c r="S59" s="369"/>
      <c r="T59" s="370"/>
      <c r="V59" s="371">
        <f>'App 1 - Services'!G59</f>
        <v>53500</v>
      </c>
      <c r="W59" s="372">
        <f>'App 1 - Services'!M59</f>
        <v>53500</v>
      </c>
      <c r="X59" s="373">
        <f>'App 1 - Services'!N59</f>
        <v>53500</v>
      </c>
      <c r="Y59" s="374">
        <v>53500</v>
      </c>
      <c r="Z59" s="368">
        <v>0</v>
      </c>
      <c r="AB59" s="375">
        <f>'App 1 - Services'!F59</f>
        <v>154072</v>
      </c>
      <c r="AC59" s="372">
        <f t="shared" si="10"/>
        <v>154072</v>
      </c>
      <c r="AD59" s="373">
        <f t="shared" si="11"/>
        <v>154072</v>
      </c>
      <c r="AE59" s="374">
        <f t="shared" si="12"/>
        <v>154072</v>
      </c>
      <c r="AF59" s="368">
        <f t="shared" si="13"/>
        <v>0</v>
      </c>
      <c r="AG59" s="376"/>
      <c r="AH59" s="377">
        <f t="shared" si="3"/>
        <v>53500</v>
      </c>
      <c r="AI59" s="377">
        <f t="shared" si="4"/>
        <v>154072</v>
      </c>
      <c r="AJ59" s="377">
        <f t="shared" si="5"/>
        <v>19076</v>
      </c>
      <c r="AK59" s="369">
        <f>(AJ59*1000)/AE59/52</f>
        <v>2.3810046851222406</v>
      </c>
      <c r="AL59" s="370"/>
    </row>
    <row r="60" spans="1:38" x14ac:dyDescent="0.2">
      <c r="A60" s="8">
        <v>14100</v>
      </c>
      <c r="B60" s="8" t="s">
        <v>49</v>
      </c>
      <c r="C60" s="8" t="s">
        <v>24</v>
      </c>
      <c r="D60" s="29" t="s">
        <v>2</v>
      </c>
      <c r="E60" s="357"/>
      <c r="F60" s="358">
        <f>'App 6 - Residual Waste'!F60</f>
        <v>2960.86</v>
      </c>
      <c r="G60" s="359">
        <f t="shared" si="0"/>
        <v>10.802431300439268</v>
      </c>
      <c r="H60" s="360">
        <f t="shared" si="1"/>
        <v>4.4453436300468239</v>
      </c>
      <c r="I60" s="361"/>
      <c r="J60" s="362"/>
      <c r="K60" s="363">
        <f>'App 4 - Recyclables'!F61</f>
        <v>1007.63</v>
      </c>
      <c r="L60" s="364">
        <f t="shared" si="6"/>
        <v>3.6734597156398103</v>
      </c>
      <c r="M60" s="364">
        <f t="shared" si="7"/>
        <v>1.511677352346505</v>
      </c>
      <c r="N60" s="357"/>
      <c r="O60" s="365">
        <f>'App 5 - Organics'!F60</f>
        <v>1415.42</v>
      </c>
      <c r="P60" s="366">
        <f t="shared" si="14"/>
        <v>5.1699174519687343</v>
      </c>
      <c r="Q60" s="367">
        <f t="shared" si="15"/>
        <v>2.1274895413630244</v>
      </c>
      <c r="R60" s="368">
        <f>'App 5 - Organics'!J60</f>
        <v>0</v>
      </c>
      <c r="S60" s="369"/>
      <c r="T60" s="370"/>
      <c r="V60" s="371">
        <f>'App 1 - Services'!G60</f>
        <v>5776</v>
      </c>
      <c r="W60" s="372">
        <f>'App 1 - Services'!M60</f>
        <v>5271</v>
      </c>
      <c r="X60" s="373">
        <f>'App 1 - Services'!N60</f>
        <v>5275</v>
      </c>
      <c r="Y60" s="374">
        <v>5265</v>
      </c>
      <c r="Z60" s="368">
        <v>0</v>
      </c>
      <c r="AB60" s="375">
        <f>'App 1 - Services'!F60</f>
        <v>14036</v>
      </c>
      <c r="AC60" s="372">
        <f t="shared" si="10"/>
        <v>12808.822022160664</v>
      </c>
      <c r="AD60" s="373">
        <f t="shared" si="11"/>
        <v>12818.542243767313</v>
      </c>
      <c r="AE60" s="374">
        <f t="shared" si="12"/>
        <v>12794.241689750692</v>
      </c>
      <c r="AF60" s="368">
        <f t="shared" si="13"/>
        <v>0</v>
      </c>
      <c r="AG60" s="376"/>
      <c r="AH60" s="377">
        <f t="shared" si="3"/>
        <v>5265</v>
      </c>
      <c r="AI60" s="377">
        <f t="shared" si="4"/>
        <v>12794.241689750692</v>
      </c>
      <c r="AJ60" s="377">
        <f t="shared" si="5"/>
        <v>1415.42</v>
      </c>
      <c r="AK60" s="369">
        <f>(AJ60*1000)/AE60/52</f>
        <v>2.1274895413630244</v>
      </c>
      <c r="AL60" s="370"/>
    </row>
    <row r="61" spans="1:38" x14ac:dyDescent="0.2">
      <c r="A61" s="8">
        <v>14170</v>
      </c>
      <c r="B61" s="8" t="s">
        <v>50</v>
      </c>
      <c r="C61" s="8" t="s">
        <v>17</v>
      </c>
      <c r="D61" s="29" t="s">
        <v>2</v>
      </c>
      <c r="E61" s="357"/>
      <c r="F61" s="358">
        <f>'App 6 - Residual Waste'!F61</f>
        <v>37102</v>
      </c>
      <c r="G61" s="359">
        <f t="shared" si="0"/>
        <v>9.1716584826593319</v>
      </c>
      <c r="H61" s="360">
        <f t="shared" si="1"/>
        <v>4.3304643601199269</v>
      </c>
      <c r="I61" s="361"/>
      <c r="J61" s="362"/>
      <c r="K61" s="363">
        <f>'App 4 - Recyclables'!F62</f>
        <v>10797</v>
      </c>
      <c r="L61" s="364">
        <f t="shared" si="6"/>
        <v>2.6004385364904365</v>
      </c>
      <c r="M61" s="364">
        <f t="shared" si="7"/>
        <v>1.2278157134007335</v>
      </c>
      <c r="N61" s="357"/>
      <c r="O61" s="365">
        <f>'App 5 - Organics'!F61</f>
        <v>6285</v>
      </c>
      <c r="P61" s="366" t="s">
        <v>419</v>
      </c>
      <c r="Q61" s="367" t="s">
        <v>419</v>
      </c>
      <c r="R61" s="368">
        <f>'App 5 - Organics'!J61</f>
        <v>614</v>
      </c>
      <c r="S61" s="369"/>
      <c r="T61" s="370"/>
      <c r="V61" s="371">
        <f>'App 1 - Services'!G61</f>
        <v>88919</v>
      </c>
      <c r="W61" s="372">
        <f>'App 1 - Services'!M61</f>
        <v>77794</v>
      </c>
      <c r="X61" s="373">
        <f>'App 1 - Services'!N61</f>
        <v>79846</v>
      </c>
      <c r="Y61" s="374">
        <v>0</v>
      </c>
      <c r="Z61" s="368">
        <v>0</v>
      </c>
      <c r="AA61" s="2">
        <v>1</v>
      </c>
      <c r="AB61" s="375">
        <f>'App 1 - Services'!F61</f>
        <v>188325</v>
      </c>
      <c r="AC61" s="372">
        <f t="shared" si="10"/>
        <v>164762.93086966788</v>
      </c>
      <c r="AD61" s="373">
        <f t="shared" si="11"/>
        <v>169108.94128364016</v>
      </c>
      <c r="AE61" s="374">
        <f t="shared" si="12"/>
        <v>0</v>
      </c>
      <c r="AF61" s="368">
        <f t="shared" si="13"/>
        <v>0</v>
      </c>
      <c r="AG61" s="376" t="s">
        <v>13</v>
      </c>
      <c r="AH61" s="377">
        <f t="shared" si="3"/>
        <v>0</v>
      </c>
      <c r="AI61" s="377">
        <f t="shared" si="4"/>
        <v>0</v>
      </c>
      <c r="AJ61" s="377">
        <f t="shared" si="5"/>
        <v>6899</v>
      </c>
      <c r="AK61" s="369" t="s">
        <v>419</v>
      </c>
      <c r="AL61" s="370" t="s">
        <v>419</v>
      </c>
    </row>
    <row r="62" spans="1:38" x14ac:dyDescent="0.2">
      <c r="A62" s="8">
        <v>14220</v>
      </c>
      <c r="B62" s="8" t="s">
        <v>117</v>
      </c>
      <c r="C62" s="8" t="s">
        <v>16</v>
      </c>
      <c r="D62" s="29" t="s">
        <v>1</v>
      </c>
      <c r="E62" s="357"/>
      <c r="F62" s="358">
        <f>'App 6 - Residual Waste'!F62</f>
        <v>4828</v>
      </c>
      <c r="G62" s="359">
        <f t="shared" si="0"/>
        <v>13.288414748268764</v>
      </c>
      <c r="H62" s="360">
        <f t="shared" si="1"/>
        <v>6.5548036202213931</v>
      </c>
      <c r="I62" s="361"/>
      <c r="J62" s="362"/>
      <c r="K62" s="363">
        <f>'App 4 - Recyclables'!F63</f>
        <v>879</v>
      </c>
      <c r="L62" s="364">
        <f t="shared" si="6"/>
        <v>2.4193282029263137</v>
      </c>
      <c r="M62" s="364">
        <f t="shared" si="7"/>
        <v>1.1933869888514095</v>
      </c>
      <c r="N62" s="357"/>
      <c r="O62" s="365">
        <f>'App 5 - Organics'!F62</f>
        <v>0</v>
      </c>
      <c r="P62" s="366"/>
      <c r="Q62" s="367"/>
      <c r="R62" s="368">
        <f>'App 5 - Organics'!J62</f>
        <v>0</v>
      </c>
      <c r="S62" s="369"/>
      <c r="T62" s="370"/>
      <c r="V62" s="371">
        <f>'App 1 - Services'!G62</f>
        <v>8908</v>
      </c>
      <c r="W62" s="372">
        <f>'App 1 - Services'!M62</f>
        <v>6987</v>
      </c>
      <c r="X62" s="373">
        <f>'App 1 - Services'!N62</f>
        <v>6987</v>
      </c>
      <c r="Y62" s="374">
        <v>0</v>
      </c>
      <c r="Z62" s="368">
        <v>0</v>
      </c>
      <c r="AA62" s="2">
        <v>1</v>
      </c>
      <c r="AB62" s="375">
        <f>'App 1 - Services'!F62</f>
        <v>18059</v>
      </c>
      <c r="AC62" s="372">
        <f t="shared" si="10"/>
        <v>14164.597328244276</v>
      </c>
      <c r="AD62" s="373">
        <f t="shared" si="11"/>
        <v>14164.597328244276</v>
      </c>
      <c r="AE62" s="374">
        <f t="shared" si="12"/>
        <v>0</v>
      </c>
      <c r="AF62" s="368">
        <f t="shared" si="13"/>
        <v>0</v>
      </c>
      <c r="AG62" s="376"/>
      <c r="AH62" s="377">
        <f t="shared" si="3"/>
        <v>0</v>
      </c>
      <c r="AI62" s="377">
        <f t="shared" si="4"/>
        <v>0</v>
      </c>
      <c r="AJ62" s="377">
        <f t="shared" si="5"/>
        <v>0</v>
      </c>
      <c r="AK62" s="369"/>
      <c r="AL62" s="370"/>
    </row>
    <row r="63" spans="1:38" x14ac:dyDescent="0.2">
      <c r="A63" s="8">
        <v>14300</v>
      </c>
      <c r="B63" s="8" t="s">
        <v>118</v>
      </c>
      <c r="C63" s="8" t="s">
        <v>21</v>
      </c>
      <c r="D63" s="29" t="s">
        <v>1</v>
      </c>
      <c r="E63" s="357"/>
      <c r="F63" s="358">
        <f>'App 6 - Residual Waste'!F63</f>
        <v>834.79</v>
      </c>
      <c r="G63" s="359">
        <f t="shared" si="0"/>
        <v>6.6612671560804335</v>
      </c>
      <c r="H63" s="360">
        <f t="shared" si="1"/>
        <v>3.1763619000389678</v>
      </c>
      <c r="I63" s="361"/>
      <c r="J63" s="362"/>
      <c r="K63" s="363">
        <f>'App 4 - Recyclables'!F64</f>
        <v>243.89</v>
      </c>
      <c r="L63" s="364">
        <f t="shared" si="6"/>
        <v>2.1406628515254713</v>
      </c>
      <c r="M63" s="364">
        <f t="shared" si="7"/>
        <v>1.0207547247534801</v>
      </c>
      <c r="N63" s="357"/>
      <c r="O63" s="365">
        <f>'App 5 - Organics'!F63</f>
        <v>0</v>
      </c>
      <c r="P63" s="366"/>
      <c r="Q63" s="367"/>
      <c r="R63" s="368">
        <f>'App 5 - Organics'!J63</f>
        <v>666</v>
      </c>
      <c r="S63" s="369">
        <f t="shared" ref="S63" si="20">(R63*1000)/Z63/52</f>
        <v>7.2523739001655194</v>
      </c>
      <c r="T63" s="370">
        <f t="shared" ref="T63" si="21">(R63*1000)/AF63/52</f>
        <v>3.4582255300022391</v>
      </c>
      <c r="V63" s="371">
        <f>'App 1 - Services'!G63</f>
        <v>3109</v>
      </c>
      <c r="W63" s="372">
        <f>'App 1 - Services'!M63</f>
        <v>2410</v>
      </c>
      <c r="X63" s="373">
        <f>'App 1 - Services'!N63</f>
        <v>2191</v>
      </c>
      <c r="Y63" s="374">
        <v>0</v>
      </c>
      <c r="Z63" s="368">
        <v>1766</v>
      </c>
      <c r="AB63" s="375">
        <f>'App 1 - Services'!F63</f>
        <v>6520</v>
      </c>
      <c r="AC63" s="372">
        <f t="shared" si="10"/>
        <v>5054.1009971051781</v>
      </c>
      <c r="AD63" s="373">
        <f t="shared" si="11"/>
        <v>4594.8279189449986</v>
      </c>
      <c r="AE63" s="374">
        <f t="shared" si="12"/>
        <v>0</v>
      </c>
      <c r="AF63" s="368">
        <f t="shared" si="13"/>
        <v>3703.5445480862013</v>
      </c>
      <c r="AG63" s="376" t="s">
        <v>13</v>
      </c>
      <c r="AH63" s="377">
        <f t="shared" si="3"/>
        <v>1766</v>
      </c>
      <c r="AI63" s="377">
        <f t="shared" si="4"/>
        <v>3703.5445480862013</v>
      </c>
      <c r="AJ63" s="377">
        <f t="shared" si="5"/>
        <v>666</v>
      </c>
      <c r="AK63" s="369"/>
      <c r="AL63" s="370">
        <f>(AJ63*1000)/AF63/52</f>
        <v>3.4582255300022391</v>
      </c>
    </row>
    <row r="64" spans="1:38" x14ac:dyDescent="0.2">
      <c r="A64" s="8">
        <v>14350</v>
      </c>
      <c r="B64" s="8" t="s">
        <v>119</v>
      </c>
      <c r="C64" s="8" t="s">
        <v>39</v>
      </c>
      <c r="D64" s="29" t="s">
        <v>3</v>
      </c>
      <c r="E64" s="378"/>
      <c r="F64" s="358">
        <f>'App 6 - Residual Waste'!F64</f>
        <v>5358</v>
      </c>
      <c r="G64" s="359">
        <f t="shared" si="0"/>
        <v>8.5240289161533376</v>
      </c>
      <c r="H64" s="360">
        <f t="shared" si="1"/>
        <v>4.3860008259633609</v>
      </c>
      <c r="I64" s="361"/>
      <c r="J64" s="362"/>
      <c r="K64" s="363">
        <f>'App 4 - Recyclables'!F65</f>
        <v>1980</v>
      </c>
      <c r="L64" s="364">
        <f t="shared" si="6"/>
        <v>3.4489966555183948</v>
      </c>
      <c r="M64" s="364">
        <f t="shared" si="7"/>
        <v>1.7746657512132293</v>
      </c>
      <c r="N64" s="357"/>
      <c r="O64" s="365">
        <f>'App 5 - Organics'!F64</f>
        <v>0</v>
      </c>
      <c r="P64" s="366"/>
      <c r="Q64" s="367"/>
      <c r="R64" s="368">
        <f>'App 5 - Organics'!J64</f>
        <v>4044</v>
      </c>
      <c r="S64" s="369">
        <f t="shared" si="8"/>
        <v>7.0443143812709028</v>
      </c>
      <c r="T64" s="370">
        <f t="shared" si="9"/>
        <v>3.6246203524779288</v>
      </c>
      <c r="V64" s="371">
        <f>'App 1 - Services'!G64</f>
        <v>16184</v>
      </c>
      <c r="W64" s="372">
        <f>'App 1 - Services'!M64</f>
        <v>12088</v>
      </c>
      <c r="X64" s="373">
        <f>'App 1 - Services'!N64</f>
        <v>11040</v>
      </c>
      <c r="Y64" s="374">
        <v>0</v>
      </c>
      <c r="Z64" s="368">
        <v>11040</v>
      </c>
      <c r="AB64" s="375">
        <f>'App 1 - Services'!F64</f>
        <v>31453</v>
      </c>
      <c r="AC64" s="372">
        <f t="shared" si="10"/>
        <v>23492.576866040534</v>
      </c>
      <c r="AD64" s="373">
        <f t="shared" si="11"/>
        <v>21455.827978250123</v>
      </c>
      <c r="AE64" s="374">
        <f t="shared" si="12"/>
        <v>0</v>
      </c>
      <c r="AF64" s="368">
        <f t="shared" si="13"/>
        <v>21455.827978250123</v>
      </c>
      <c r="AG64" s="376" t="s">
        <v>13</v>
      </c>
      <c r="AH64" s="377">
        <f t="shared" si="3"/>
        <v>11040</v>
      </c>
      <c r="AI64" s="377">
        <f t="shared" si="4"/>
        <v>21455.827978250123</v>
      </c>
      <c r="AJ64" s="377">
        <f t="shared" si="5"/>
        <v>4044</v>
      </c>
      <c r="AK64" s="369"/>
      <c r="AL64" s="370">
        <f>(AJ64*1000)/AF64/52</f>
        <v>3.6246203524779288</v>
      </c>
    </row>
    <row r="65" spans="1:38" x14ac:dyDescent="0.2">
      <c r="A65" s="8">
        <v>14400</v>
      </c>
      <c r="B65" s="8" t="s">
        <v>120</v>
      </c>
      <c r="C65" s="8" t="s">
        <v>37</v>
      </c>
      <c r="D65" s="29" t="s">
        <v>2</v>
      </c>
      <c r="E65" s="357"/>
      <c r="F65" s="358">
        <f>'App 6 - Residual Waste'!F65</f>
        <v>2898.55</v>
      </c>
      <c r="G65" s="359">
        <f t="shared" si="0"/>
        <v>4.9965351518327497</v>
      </c>
      <c r="H65" s="360">
        <f t="shared" si="1"/>
        <v>2.3386095750209277</v>
      </c>
      <c r="I65" s="361"/>
      <c r="J65" s="362"/>
      <c r="K65" s="363">
        <f>'App 4 - Recyclables'!F66</f>
        <v>2345.19</v>
      </c>
      <c r="L65" s="364">
        <f t="shared" si="6"/>
        <v>4.3692896427347119</v>
      </c>
      <c r="M65" s="364">
        <f t="shared" si="7"/>
        <v>2.0450296623633557</v>
      </c>
      <c r="N65" s="357"/>
      <c r="O65" s="365">
        <f>'App 5 - Organics'!F65</f>
        <v>0</v>
      </c>
      <c r="P65" s="366"/>
      <c r="Q65" s="367"/>
      <c r="R65" s="368">
        <f>'App 5 - Organics'!J65</f>
        <v>4829.8900000000003</v>
      </c>
      <c r="S65" s="369">
        <f t="shared" si="8"/>
        <v>10.079489962018449</v>
      </c>
      <c r="T65" s="370">
        <f t="shared" si="9"/>
        <v>4.7176675476519696</v>
      </c>
      <c r="V65" s="371">
        <f>'App 1 - Services'!G65</f>
        <v>10766</v>
      </c>
      <c r="W65" s="372">
        <f>'App 1 - Services'!M65</f>
        <v>11156</v>
      </c>
      <c r="X65" s="373">
        <f>'App 1 - Services'!N65</f>
        <v>10322</v>
      </c>
      <c r="Y65" s="374">
        <v>0</v>
      </c>
      <c r="Z65" s="368">
        <v>9215</v>
      </c>
      <c r="AB65" s="375">
        <f>'App 1 - Services'!F65</f>
        <v>23002</v>
      </c>
      <c r="AC65" s="372">
        <f t="shared" si="10"/>
        <v>23835.250975292587</v>
      </c>
      <c r="AD65" s="373">
        <f t="shared" si="11"/>
        <v>22053.375812743823</v>
      </c>
      <c r="AE65" s="374">
        <f t="shared" si="12"/>
        <v>0</v>
      </c>
      <c r="AF65" s="368">
        <f t="shared" si="13"/>
        <v>19688.224967490249</v>
      </c>
      <c r="AG65" s="376" t="s">
        <v>13</v>
      </c>
      <c r="AH65" s="377">
        <f t="shared" si="3"/>
        <v>9215</v>
      </c>
      <c r="AI65" s="377">
        <f t="shared" si="4"/>
        <v>19688.224967490249</v>
      </c>
      <c r="AJ65" s="377">
        <f t="shared" si="5"/>
        <v>4829.8900000000003</v>
      </c>
      <c r="AK65" s="369"/>
      <c r="AL65" s="370">
        <f>(AJ65*1000)/AF65/52</f>
        <v>4.7176675476519696</v>
      </c>
    </row>
    <row r="66" spans="1:38" x14ac:dyDescent="0.2">
      <c r="A66" s="8">
        <v>14500</v>
      </c>
      <c r="B66" s="8" t="s">
        <v>51</v>
      </c>
      <c r="C66" s="8" t="s">
        <v>24</v>
      </c>
      <c r="D66" s="29" t="s">
        <v>2</v>
      </c>
      <c r="E66" s="357"/>
      <c r="F66" s="358">
        <f>'App 6 - Residual Waste'!F66</f>
        <v>22506.46</v>
      </c>
      <c r="G66" s="359">
        <f t="shared" si="0"/>
        <v>9.567332135138674</v>
      </c>
      <c r="H66" s="360">
        <f t="shared" si="1"/>
        <v>3.6372030809149218</v>
      </c>
      <c r="I66" s="361"/>
      <c r="J66" s="362"/>
      <c r="K66" s="363">
        <f>'App 4 - Recyclables'!F67</f>
        <v>9251.08</v>
      </c>
      <c r="L66" s="364">
        <f t="shared" si="6"/>
        <v>3.8964778267857687</v>
      </c>
      <c r="M66" s="364">
        <f t="shared" si="7"/>
        <v>1.4813200750343194</v>
      </c>
      <c r="N66" s="357"/>
      <c r="O66" s="365">
        <f>'App 5 - Organics'!F66</f>
        <v>23742.32</v>
      </c>
      <c r="P66" s="366">
        <f t="shared" si="14"/>
        <v>12.910591741073857</v>
      </c>
      <c r="Q66" s="367">
        <f t="shared" si="15"/>
        <v>4.9082067386999864</v>
      </c>
      <c r="R66" s="368">
        <f>'App 5 - Organics'!J66</f>
        <v>0</v>
      </c>
      <c r="S66" s="369"/>
      <c r="T66" s="370"/>
      <c r="V66" s="371">
        <f>'App 1 - Services'!G66</f>
        <v>48275</v>
      </c>
      <c r="W66" s="372">
        <f>'App 1 - Services'!M66</f>
        <v>45239</v>
      </c>
      <c r="X66" s="373">
        <f>'App 1 - Services'!N66</f>
        <v>45658</v>
      </c>
      <c r="Y66" s="374">
        <v>35365</v>
      </c>
      <c r="Z66" s="368">
        <v>0</v>
      </c>
      <c r="AB66" s="375">
        <f>'App 1 - Services'!F66</f>
        <v>126983</v>
      </c>
      <c r="AC66" s="372">
        <f t="shared" si="10"/>
        <v>118997.07792853443</v>
      </c>
      <c r="AD66" s="373">
        <f t="shared" si="11"/>
        <v>120099.21934748834</v>
      </c>
      <c r="AE66" s="374">
        <f t="shared" si="12"/>
        <v>93024.418332470232</v>
      </c>
      <c r="AF66" s="368">
        <f t="shared" si="13"/>
        <v>0</v>
      </c>
      <c r="AG66" s="376"/>
      <c r="AH66" s="377">
        <f t="shared" si="3"/>
        <v>35365</v>
      </c>
      <c r="AI66" s="377">
        <f t="shared" si="4"/>
        <v>93024.418332470232</v>
      </c>
      <c r="AJ66" s="377">
        <f t="shared" si="5"/>
        <v>23742.32</v>
      </c>
      <c r="AK66" s="369">
        <f>(AJ66*1000)/AE66/52</f>
        <v>4.9082067386999864</v>
      </c>
      <c r="AL66" s="370"/>
    </row>
    <row r="67" spans="1:38" x14ac:dyDescent="0.2">
      <c r="A67" s="8">
        <v>14550</v>
      </c>
      <c r="B67" s="8" t="s">
        <v>121</v>
      </c>
      <c r="C67" s="8" t="s">
        <v>19</v>
      </c>
      <c r="D67" s="29" t="s">
        <v>3</v>
      </c>
      <c r="E67" s="357"/>
      <c r="F67" s="358">
        <f>'App 6 - Residual Waste'!F67</f>
        <v>978.5</v>
      </c>
      <c r="G67" s="359">
        <f t="shared" si="0"/>
        <v>8.9777231356429823</v>
      </c>
      <c r="H67" s="360">
        <f t="shared" si="1"/>
        <v>5.7784373456493805</v>
      </c>
      <c r="I67" s="361"/>
      <c r="J67" s="362"/>
      <c r="K67" s="363">
        <f>'App 4 - Recyclables'!F68</f>
        <v>219.42</v>
      </c>
      <c r="L67" s="364">
        <f t="shared" si="6"/>
        <v>2.0131752789195536</v>
      </c>
      <c r="M67" s="364">
        <f t="shared" si="7"/>
        <v>1.2957636406565021</v>
      </c>
      <c r="N67" s="357"/>
      <c r="O67" s="365">
        <f>'App 5 - Organics'!F67</f>
        <v>0</v>
      </c>
      <c r="P67" s="366"/>
      <c r="Q67" s="367"/>
      <c r="R67" s="368">
        <f>'App 5 - Organics'!J67</f>
        <v>0</v>
      </c>
      <c r="S67" s="369"/>
      <c r="T67" s="370"/>
      <c r="V67" s="371">
        <f>'App 1 - Services'!G67</f>
        <v>6094</v>
      </c>
      <c r="W67" s="372">
        <f>'App 1 - Services'!M67</f>
        <v>2096</v>
      </c>
      <c r="X67" s="373">
        <f>'App 1 - Services'!N67</f>
        <v>2096</v>
      </c>
      <c r="Y67" s="374">
        <v>0</v>
      </c>
      <c r="Z67" s="368">
        <v>0</v>
      </c>
      <c r="AA67" s="2">
        <v>1</v>
      </c>
      <c r="AB67" s="375">
        <f>'App 1 - Services'!F67</f>
        <v>9468</v>
      </c>
      <c r="AC67" s="372">
        <f t="shared" si="10"/>
        <v>3256.4699704627501</v>
      </c>
      <c r="AD67" s="373">
        <f t="shared" si="11"/>
        <v>3256.4699704627501</v>
      </c>
      <c r="AE67" s="374">
        <f t="shared" si="12"/>
        <v>0</v>
      </c>
      <c r="AF67" s="368">
        <f t="shared" si="13"/>
        <v>0</v>
      </c>
      <c r="AG67" s="376"/>
      <c r="AH67" s="377">
        <f t="shared" si="3"/>
        <v>0</v>
      </c>
      <c r="AI67" s="377">
        <f t="shared" si="4"/>
        <v>0</v>
      </c>
      <c r="AJ67" s="377">
        <f t="shared" si="5"/>
        <v>0</v>
      </c>
      <c r="AK67" s="369"/>
      <c r="AL67" s="370"/>
    </row>
    <row r="68" spans="1:38" x14ac:dyDescent="0.2">
      <c r="A68" s="8">
        <v>14600</v>
      </c>
      <c r="B68" s="8" t="s">
        <v>122</v>
      </c>
      <c r="C68" s="8" t="s">
        <v>38</v>
      </c>
      <c r="D68" s="29" t="s">
        <v>1</v>
      </c>
      <c r="E68" s="357"/>
      <c r="F68" s="358">
        <f>'App 6 - Residual Waste'!F68</f>
        <v>840</v>
      </c>
      <c r="G68" s="359">
        <f t="shared" si="0"/>
        <v>5.2963430012610342</v>
      </c>
      <c r="H68" s="360">
        <f t="shared" si="1"/>
        <v>4.6527171314152573</v>
      </c>
      <c r="I68" s="361"/>
      <c r="J68" s="362"/>
      <c r="K68" s="363">
        <f>'App 4 - Recyclables'!F69</f>
        <v>113</v>
      </c>
      <c r="L68" s="364">
        <f t="shared" si="6"/>
        <v>0.72435897435897434</v>
      </c>
      <c r="M68" s="364">
        <f t="shared" si="7"/>
        <v>0.63633292037391598</v>
      </c>
      <c r="N68" s="357"/>
      <c r="O68" s="365">
        <f>'App 5 - Organics'!F68</f>
        <v>150</v>
      </c>
      <c r="P68" s="366" t="s">
        <v>419</v>
      </c>
      <c r="Q68" s="367" t="s">
        <v>419</v>
      </c>
      <c r="R68" s="368">
        <f>'App 5 - Organics'!J68</f>
        <v>0</v>
      </c>
      <c r="S68" s="369"/>
      <c r="T68" s="370"/>
      <c r="V68" s="371">
        <f>'App 1 - Services'!G68</f>
        <v>5400</v>
      </c>
      <c r="W68" s="372">
        <f>'App 1 - Services'!M68</f>
        <v>3050</v>
      </c>
      <c r="X68" s="373">
        <f>'App 1 - Services'!N68</f>
        <v>3000</v>
      </c>
      <c r="Y68" s="374">
        <v>0</v>
      </c>
      <c r="Z68" s="368">
        <v>0</v>
      </c>
      <c r="AA68" s="2">
        <v>1</v>
      </c>
      <c r="AB68" s="375">
        <f>'App 1 - Services'!F68</f>
        <v>6147</v>
      </c>
      <c r="AC68" s="372">
        <f t="shared" si="10"/>
        <v>3471.9166666666665</v>
      </c>
      <c r="AD68" s="373">
        <f t="shared" si="11"/>
        <v>3415</v>
      </c>
      <c r="AE68" s="374">
        <f t="shared" si="12"/>
        <v>0</v>
      </c>
      <c r="AF68" s="368">
        <f t="shared" si="13"/>
        <v>0</v>
      </c>
      <c r="AG68" s="376"/>
      <c r="AH68" s="377">
        <f t="shared" si="3"/>
        <v>0</v>
      </c>
      <c r="AI68" s="377">
        <f t="shared" si="4"/>
        <v>0</v>
      </c>
      <c r="AJ68" s="377">
        <f t="shared" si="5"/>
        <v>150</v>
      </c>
      <c r="AK68" s="369" t="s">
        <v>419</v>
      </c>
      <c r="AL68" s="370"/>
    </row>
    <row r="69" spans="1:38" x14ac:dyDescent="0.2">
      <c r="A69" s="8">
        <v>14650</v>
      </c>
      <c r="B69" s="8" t="s">
        <v>123</v>
      </c>
      <c r="C69" s="8" t="s">
        <v>23</v>
      </c>
      <c r="D69" s="29" t="s">
        <v>2</v>
      </c>
      <c r="E69" s="357"/>
      <c r="F69" s="358">
        <f>'App 6 - Residual Waste'!F69</f>
        <v>36353.019999999997</v>
      </c>
      <c r="G69" s="359">
        <f t="shared" ref="G69:G132" si="22">(F69*1000)/W69/52</f>
        <v>8.1429482774223203</v>
      </c>
      <c r="H69" s="360">
        <f t="shared" ref="H69:H132" si="23">(F69*1000)/AC69/52</f>
        <v>3.2915859777459895</v>
      </c>
      <c r="I69" s="361"/>
      <c r="J69" s="362"/>
      <c r="K69" s="363">
        <f>'App 4 - Recyclables'!F70</f>
        <v>16315.59</v>
      </c>
      <c r="L69" s="364">
        <f t="shared" si="6"/>
        <v>3.6304045791063588</v>
      </c>
      <c r="M69" s="364">
        <f t="shared" si="7"/>
        <v>1.4675014993358244</v>
      </c>
      <c r="N69" s="357"/>
      <c r="O69" s="365">
        <f>'App 5 - Organics'!F69</f>
        <v>0</v>
      </c>
      <c r="P69" s="366"/>
      <c r="Q69" s="367"/>
      <c r="R69" s="368">
        <f>'App 5 - Organics'!J69</f>
        <v>38346</v>
      </c>
      <c r="S69" s="369">
        <f t="shared" si="8"/>
        <v>8.5324216893420601</v>
      </c>
      <c r="T69" s="370">
        <f t="shared" si="9"/>
        <v>3.4490209973118668</v>
      </c>
      <c r="V69" s="371">
        <f>'App 1 - Services'!G69</f>
        <v>88626</v>
      </c>
      <c r="W69" s="372">
        <f>'App 1 - Services'!M69</f>
        <v>85853</v>
      </c>
      <c r="X69" s="373">
        <f>'App 1 - Services'!N69</f>
        <v>86426</v>
      </c>
      <c r="Y69" s="374">
        <v>0</v>
      </c>
      <c r="Z69" s="368">
        <v>86426</v>
      </c>
      <c r="AB69" s="375">
        <f>'App 1 - Services'!F69</f>
        <v>219249</v>
      </c>
      <c r="AC69" s="372">
        <f t="shared" si="10"/>
        <v>212388.96482973394</v>
      </c>
      <c r="AD69" s="373">
        <f t="shared" si="11"/>
        <v>213806.4910297204</v>
      </c>
      <c r="AE69" s="374">
        <f t="shared" si="12"/>
        <v>0</v>
      </c>
      <c r="AF69" s="368">
        <f t="shared" si="13"/>
        <v>213806.4910297204</v>
      </c>
      <c r="AG69" s="376" t="s">
        <v>330</v>
      </c>
      <c r="AH69" s="377">
        <f t="shared" ref="AH69:AH132" si="24">Y69+Z69</f>
        <v>86426</v>
      </c>
      <c r="AI69" s="377">
        <f t="shared" ref="AI69:AI132" si="25">AE69+AF69</f>
        <v>213806.4910297204</v>
      </c>
      <c r="AJ69" s="377">
        <f t="shared" ref="AJ69:AJ132" si="26">O69+R69</f>
        <v>38346</v>
      </c>
      <c r="AK69" s="369"/>
      <c r="AL69" s="370">
        <f>(AJ69*1000)/AF69/52</f>
        <v>3.4490209973118668</v>
      </c>
    </row>
    <row r="70" spans="1:38" x14ac:dyDescent="0.2">
      <c r="A70" s="8">
        <v>14700</v>
      </c>
      <c r="B70" s="8" t="s">
        <v>52</v>
      </c>
      <c r="C70" s="8" t="s">
        <v>24</v>
      </c>
      <c r="D70" s="29" t="s">
        <v>2</v>
      </c>
      <c r="E70" s="357"/>
      <c r="F70" s="358">
        <f>'App 6 - Residual Waste'!F70</f>
        <v>7349.08</v>
      </c>
      <c r="G70" s="359">
        <f t="shared" si="22"/>
        <v>7.5146733417590017</v>
      </c>
      <c r="H70" s="360">
        <f t="shared" si="23"/>
        <v>3.4264479640815488</v>
      </c>
      <c r="I70" s="361"/>
      <c r="J70" s="362"/>
      <c r="K70" s="363">
        <f>'App 4 - Recyclables'!F71</f>
        <v>2685.88</v>
      </c>
      <c r="L70" s="364">
        <f t="shared" ref="L70:L132" si="27">(K70*1000)/X70/52</f>
        <v>2.7463996629732792</v>
      </c>
      <c r="M70" s="364">
        <f t="shared" ref="M70:M132" si="28">(K70*1000)/AD70/52</f>
        <v>1.2522694075676617</v>
      </c>
      <c r="N70" s="357"/>
      <c r="O70" s="365">
        <f>'App 5 - Organics'!F70</f>
        <v>3463.7</v>
      </c>
      <c r="P70" s="366">
        <f t="shared" ref="P70:P129" si="29">(O70*1000)/Y70/52</f>
        <v>9.7897729842174286</v>
      </c>
      <c r="Q70" s="367">
        <f t="shared" ref="Q70:Q129" si="30">(O70*1000)/AE70/52</f>
        <v>4.463819807600645</v>
      </c>
      <c r="R70" s="368">
        <f>'App 5 - Organics'!J70</f>
        <v>0</v>
      </c>
      <c r="S70" s="369"/>
      <c r="T70" s="370"/>
      <c r="V70" s="371">
        <f>'App 1 - Services'!G70</f>
        <v>18945</v>
      </c>
      <c r="W70" s="372">
        <f>'App 1 - Services'!M70</f>
        <v>18807</v>
      </c>
      <c r="X70" s="373">
        <f>'App 1 - Services'!N70</f>
        <v>18807</v>
      </c>
      <c r="Y70" s="374">
        <v>6804</v>
      </c>
      <c r="Z70" s="368">
        <v>0</v>
      </c>
      <c r="AB70" s="375">
        <f>'App 1 - Services'!F70</f>
        <v>41549</v>
      </c>
      <c r="AC70" s="372">
        <f t="shared" ref="AC70:AC132" si="31">(W70/$V70)*$AB70</f>
        <v>41246.346951702297</v>
      </c>
      <c r="AD70" s="373">
        <f t="shared" ref="AD70:AD132" si="32">(X70/$V70)*$AB70</f>
        <v>41246.346951702297</v>
      </c>
      <c r="AE70" s="374">
        <f t="shared" ref="AE70:AE132" si="33">(Y70/$V70)*$AB70</f>
        <v>14922.111163895486</v>
      </c>
      <c r="AF70" s="368">
        <f t="shared" ref="AF70:AF132" si="34">(Z70/$V70)*$AB70</f>
        <v>0</v>
      </c>
      <c r="AG70" s="376"/>
      <c r="AH70" s="377">
        <f t="shared" si="24"/>
        <v>6804</v>
      </c>
      <c r="AI70" s="377">
        <f t="shared" si="25"/>
        <v>14922.111163895486</v>
      </c>
      <c r="AJ70" s="377">
        <f t="shared" si="26"/>
        <v>3463.7</v>
      </c>
      <c r="AK70" s="369">
        <f>(AJ70*1000)/AE70/52</f>
        <v>4.463819807600645</v>
      </c>
      <c r="AL70" s="370"/>
    </row>
    <row r="71" spans="1:38" x14ac:dyDescent="0.2">
      <c r="A71" s="8">
        <v>14750</v>
      </c>
      <c r="B71" s="8" t="s">
        <v>124</v>
      </c>
      <c r="C71" s="8" t="s">
        <v>68</v>
      </c>
      <c r="D71" s="29" t="s">
        <v>1</v>
      </c>
      <c r="E71" s="357"/>
      <c r="F71" s="358">
        <f>'App 6 - Residual Waste'!F71</f>
        <v>2946.84</v>
      </c>
      <c r="G71" s="359">
        <f t="shared" si="22"/>
        <v>13.139346162763738</v>
      </c>
      <c r="H71" s="360">
        <f t="shared" si="23"/>
        <v>6.3759910038361003</v>
      </c>
      <c r="I71" s="361"/>
      <c r="J71" s="362"/>
      <c r="K71" s="363">
        <f>'App 4 - Recyclables'!F72</f>
        <v>505.32</v>
      </c>
      <c r="L71" s="364">
        <f t="shared" si="27"/>
        <v>2.455202705329032</v>
      </c>
      <c r="M71" s="364">
        <f t="shared" si="28"/>
        <v>1.1914101484087252</v>
      </c>
      <c r="N71" s="357"/>
      <c r="O71" s="365">
        <f>'App 5 - Organics'!F71</f>
        <v>0</v>
      </c>
      <c r="P71" s="366"/>
      <c r="Q71" s="367"/>
      <c r="R71" s="368">
        <f>'App 5 - Organics'!J71</f>
        <v>0</v>
      </c>
      <c r="S71" s="369"/>
      <c r="T71" s="370"/>
      <c r="V71" s="371">
        <f>'App 1 - Services'!G71</f>
        <v>5547</v>
      </c>
      <c r="W71" s="372">
        <f>'App 1 - Services'!M71</f>
        <v>4313</v>
      </c>
      <c r="X71" s="373">
        <f>'App 1 - Services'!N71</f>
        <v>3958</v>
      </c>
      <c r="Y71" s="374">
        <v>0</v>
      </c>
      <c r="Z71" s="368">
        <v>0</v>
      </c>
      <c r="AA71" s="2">
        <v>1</v>
      </c>
      <c r="AB71" s="375">
        <f>'App 1 - Services'!F71</f>
        <v>11431</v>
      </c>
      <c r="AC71" s="372">
        <f t="shared" si="31"/>
        <v>8888.0301063637999</v>
      </c>
      <c r="AD71" s="373">
        <f t="shared" si="32"/>
        <v>8156.462592392284</v>
      </c>
      <c r="AE71" s="374">
        <f t="shared" si="33"/>
        <v>0</v>
      </c>
      <c r="AF71" s="368">
        <f t="shared" si="34"/>
        <v>0</v>
      </c>
      <c r="AG71" s="376"/>
      <c r="AH71" s="377">
        <f t="shared" si="24"/>
        <v>0</v>
      </c>
      <c r="AI71" s="377">
        <f t="shared" si="25"/>
        <v>0</v>
      </c>
      <c r="AJ71" s="377">
        <f t="shared" si="26"/>
        <v>0</v>
      </c>
      <c r="AK71" s="369"/>
      <c r="AL71" s="370"/>
    </row>
    <row r="72" spans="1:38" x14ac:dyDescent="0.2">
      <c r="A72" s="8">
        <v>14850</v>
      </c>
      <c r="B72" s="8" t="s">
        <v>125</v>
      </c>
      <c r="C72" s="8" t="s">
        <v>19</v>
      </c>
      <c r="D72" s="29" t="s">
        <v>3</v>
      </c>
      <c r="E72" s="357"/>
      <c r="F72" s="358">
        <f>'App 6 - Residual Waste'!F72</f>
        <v>6238</v>
      </c>
      <c r="G72" s="359">
        <f t="shared" si="22"/>
        <v>8.3742784266344472</v>
      </c>
      <c r="H72" s="360">
        <f t="shared" si="23"/>
        <v>3.523693122556117</v>
      </c>
      <c r="I72" s="361"/>
      <c r="J72" s="362"/>
      <c r="K72" s="363">
        <f>'App 4 - Recyclables'!F73</f>
        <v>3014</v>
      </c>
      <c r="L72" s="364">
        <f t="shared" si="27"/>
        <v>3.7007750262762396</v>
      </c>
      <c r="M72" s="364">
        <f t="shared" si="28"/>
        <v>1.5571963151764758</v>
      </c>
      <c r="N72" s="357"/>
      <c r="O72" s="365">
        <f>'App 5 - Organics'!F72</f>
        <v>5303</v>
      </c>
      <c r="P72" s="366"/>
      <c r="Q72" s="367"/>
      <c r="R72" s="368">
        <f>'App 5 - Organics'!J72</f>
        <v>0</v>
      </c>
      <c r="S72" s="369">
        <f t="shared" ref="S72:S131" si="35">(R72*1000)/Z72/52</f>
        <v>0</v>
      </c>
      <c r="T72" s="370">
        <f t="shared" ref="T72:T131" si="36">(R72*1000)/AF72/52</f>
        <v>0</v>
      </c>
      <c r="V72" s="371">
        <f>'App 1 - Services'!G72</f>
        <v>18475</v>
      </c>
      <c r="W72" s="372">
        <f>'App 1 - Services'!M72</f>
        <v>14325</v>
      </c>
      <c r="X72" s="373">
        <f>'App 1 - Services'!N72</f>
        <v>15662</v>
      </c>
      <c r="Y72" s="374">
        <v>0</v>
      </c>
      <c r="Z72" s="368">
        <v>13014</v>
      </c>
      <c r="AB72" s="375">
        <f>'App 1 - Services'!F72</f>
        <v>43907</v>
      </c>
      <c r="AC72" s="372">
        <f t="shared" si="31"/>
        <v>34044.263870094721</v>
      </c>
      <c r="AD72" s="373">
        <f t="shared" si="32"/>
        <v>37221.728497970231</v>
      </c>
      <c r="AE72" s="374">
        <f t="shared" si="33"/>
        <v>0</v>
      </c>
      <c r="AF72" s="368">
        <f t="shared" si="34"/>
        <v>30928.589878213799</v>
      </c>
      <c r="AG72" s="376" t="s">
        <v>13</v>
      </c>
      <c r="AH72" s="377">
        <f t="shared" si="24"/>
        <v>13014</v>
      </c>
      <c r="AI72" s="377">
        <f t="shared" si="25"/>
        <v>30928.589878213799</v>
      </c>
      <c r="AJ72" s="377">
        <f t="shared" si="26"/>
        <v>5303</v>
      </c>
      <c r="AK72" s="369"/>
      <c r="AL72" s="370">
        <f>(AJ72*1000)/AF72/52</f>
        <v>3.2972977310745364</v>
      </c>
    </row>
    <row r="73" spans="1:38" x14ac:dyDescent="0.2">
      <c r="A73" s="8">
        <v>14870</v>
      </c>
      <c r="B73" s="8" t="s">
        <v>126</v>
      </c>
      <c r="C73" s="8" t="s">
        <v>38</v>
      </c>
      <c r="D73" s="29" t="s">
        <v>1</v>
      </c>
      <c r="E73" s="357"/>
      <c r="F73" s="358">
        <f>'App 6 - Residual Waste'!F73</f>
        <v>6063</v>
      </c>
      <c r="G73" s="359">
        <f t="shared" si="22"/>
        <v>13.885453596064528</v>
      </c>
      <c r="H73" s="360">
        <f t="shared" si="23"/>
        <v>7.8191103776333266</v>
      </c>
      <c r="I73" s="361"/>
      <c r="J73" s="362"/>
      <c r="K73" s="363">
        <f>'App 4 - Recyclables'!F74</f>
        <v>1097</v>
      </c>
      <c r="L73" s="364">
        <f t="shared" si="27"/>
        <v>2.512344152215535</v>
      </c>
      <c r="M73" s="364">
        <f t="shared" si="28"/>
        <v>1.4147392518990203</v>
      </c>
      <c r="N73" s="357"/>
      <c r="O73" s="365">
        <f>'App 5 - Organics'!F73</f>
        <v>0</v>
      </c>
      <c r="P73" s="366"/>
      <c r="Q73" s="367"/>
      <c r="R73" s="368">
        <f>'App 5 - Organics'!J73</f>
        <v>0</v>
      </c>
      <c r="S73" s="369"/>
      <c r="T73" s="370"/>
      <c r="V73" s="371">
        <f>'App 1 - Services'!G73</f>
        <v>11670</v>
      </c>
      <c r="W73" s="372">
        <f>'App 1 - Services'!M73</f>
        <v>8397</v>
      </c>
      <c r="X73" s="373">
        <f>'App 1 - Services'!N73</f>
        <v>8397</v>
      </c>
      <c r="Y73" s="374">
        <v>0</v>
      </c>
      <c r="Z73" s="368">
        <v>0</v>
      </c>
      <c r="AA73" s="2">
        <v>1</v>
      </c>
      <c r="AB73" s="375">
        <f>'App 1 - Services'!F73</f>
        <v>20724</v>
      </c>
      <c r="AC73" s="372">
        <f t="shared" si="31"/>
        <v>14911.690488431876</v>
      </c>
      <c r="AD73" s="373">
        <f t="shared" si="32"/>
        <v>14911.690488431876</v>
      </c>
      <c r="AE73" s="374">
        <f t="shared" si="33"/>
        <v>0</v>
      </c>
      <c r="AF73" s="368">
        <f t="shared" si="34"/>
        <v>0</v>
      </c>
      <c r="AG73" s="376"/>
      <c r="AH73" s="377">
        <f t="shared" si="24"/>
        <v>0</v>
      </c>
      <c r="AI73" s="377">
        <f t="shared" si="25"/>
        <v>0</v>
      </c>
      <c r="AJ73" s="377">
        <f t="shared" si="26"/>
        <v>0</v>
      </c>
      <c r="AK73" s="369"/>
      <c r="AL73" s="370"/>
    </row>
    <row r="74" spans="1:38" x14ac:dyDescent="0.2">
      <c r="A74" s="8">
        <v>14900</v>
      </c>
      <c r="B74" s="8" t="s">
        <v>53</v>
      </c>
      <c r="C74" s="8" t="s">
        <v>18</v>
      </c>
      <c r="D74" s="29" t="s">
        <v>2</v>
      </c>
      <c r="E74" s="357"/>
      <c r="F74" s="358">
        <f>'App 6 - Residual Waste'!F74</f>
        <v>55788.76</v>
      </c>
      <c r="G74" s="359">
        <f t="shared" si="22"/>
        <v>13.839436150135047</v>
      </c>
      <c r="H74" s="360">
        <f t="shared" si="23"/>
        <v>4.3527907766046221</v>
      </c>
      <c r="I74" s="361"/>
      <c r="J74" s="362"/>
      <c r="K74" s="363">
        <f>'App 4 - Recyclables'!F75</f>
        <v>15578.62</v>
      </c>
      <c r="L74" s="364">
        <f t="shared" si="27"/>
        <v>3.8645654930709492</v>
      </c>
      <c r="M74" s="364">
        <f t="shared" si="28"/>
        <v>1.2154862995382636</v>
      </c>
      <c r="N74" s="357"/>
      <c r="O74" s="365">
        <f>'App 5 - Organics'!F74</f>
        <v>17939.84</v>
      </c>
      <c r="P74" s="366">
        <f t="shared" si="29"/>
        <v>6.0676936064744291</v>
      </c>
      <c r="Q74" s="367">
        <f t="shared" si="30"/>
        <v>1.9084159556071947</v>
      </c>
      <c r="R74" s="368">
        <f>'App 5 - Organics'!J74</f>
        <v>0</v>
      </c>
      <c r="S74" s="369"/>
      <c r="T74" s="370"/>
      <c r="V74" s="371">
        <f>'App 1 - Services'!G74</f>
        <v>77898</v>
      </c>
      <c r="W74" s="372">
        <f>'App 1 - Services'!M74</f>
        <v>77522</v>
      </c>
      <c r="X74" s="373">
        <f>'App 1 - Services'!N74</f>
        <v>77522</v>
      </c>
      <c r="Y74" s="374">
        <v>56858</v>
      </c>
      <c r="Z74" s="368">
        <v>0</v>
      </c>
      <c r="AB74" s="375">
        <f>'App 1 - Services'!F74</f>
        <v>247672</v>
      </c>
      <c r="AC74" s="372">
        <f t="shared" si="31"/>
        <v>246476.53064263525</v>
      </c>
      <c r="AD74" s="373">
        <f t="shared" si="32"/>
        <v>246476.53064263525</v>
      </c>
      <c r="AE74" s="374">
        <f t="shared" si="33"/>
        <v>180776.58702405708</v>
      </c>
      <c r="AF74" s="368">
        <f t="shared" si="34"/>
        <v>0</v>
      </c>
      <c r="AG74" s="376"/>
      <c r="AH74" s="377">
        <f t="shared" si="24"/>
        <v>56858</v>
      </c>
      <c r="AI74" s="377">
        <f t="shared" si="25"/>
        <v>180776.58702405708</v>
      </c>
      <c r="AJ74" s="377">
        <f t="shared" si="26"/>
        <v>17939.84</v>
      </c>
      <c r="AK74" s="369">
        <f>(AJ74*1000)/AE74/52</f>
        <v>1.9084159556071947</v>
      </c>
      <c r="AL74" s="370"/>
    </row>
    <row r="75" spans="1:38" x14ac:dyDescent="0.2">
      <c r="A75" s="8">
        <v>14920</v>
      </c>
      <c r="B75" s="8" t="s">
        <v>127</v>
      </c>
      <c r="C75" s="8" t="s">
        <v>16</v>
      </c>
      <c r="D75" s="29" t="s">
        <v>1</v>
      </c>
      <c r="E75" s="357"/>
      <c r="F75" s="358">
        <f>'App 6 - Residual Waste'!F75</f>
        <v>1677</v>
      </c>
      <c r="G75" s="359">
        <f t="shared" si="22"/>
        <v>18.97058823529412</v>
      </c>
      <c r="H75" s="360">
        <f t="shared" si="23"/>
        <v>9.7215913886097027</v>
      </c>
      <c r="I75" s="361"/>
      <c r="J75" s="362"/>
      <c r="K75" s="363">
        <f>'App 4 - Recyclables'!F76</f>
        <v>439</v>
      </c>
      <c r="L75" s="364">
        <f t="shared" si="27"/>
        <v>4.9660633484162897</v>
      </c>
      <c r="M75" s="364">
        <f t="shared" si="28"/>
        <v>2.5448888608226952</v>
      </c>
      <c r="N75" s="357"/>
      <c r="O75" s="365">
        <f>'App 5 - Organics'!F75</f>
        <v>0</v>
      </c>
      <c r="P75" s="366"/>
      <c r="Q75" s="367"/>
      <c r="R75" s="368">
        <f>'App 5 - Organics'!J75</f>
        <v>0</v>
      </c>
      <c r="S75" s="369"/>
      <c r="T75" s="370"/>
      <c r="V75" s="371">
        <f>'App 1 - Services'!G75</f>
        <v>3929</v>
      </c>
      <c r="W75" s="372">
        <f>'App 1 - Services'!M75</f>
        <v>1700</v>
      </c>
      <c r="X75" s="373">
        <f>'App 1 - Services'!N75</f>
        <v>1700</v>
      </c>
      <c r="Y75" s="374">
        <v>0</v>
      </c>
      <c r="Z75" s="368">
        <v>0</v>
      </c>
      <c r="AA75" s="2">
        <v>1</v>
      </c>
      <c r="AB75" s="375">
        <f>'App 1 - Services'!F75</f>
        <v>7667</v>
      </c>
      <c r="AC75" s="372">
        <f t="shared" si="31"/>
        <v>3317.3581063883939</v>
      </c>
      <c r="AD75" s="373">
        <f t="shared" si="32"/>
        <v>3317.3581063883939</v>
      </c>
      <c r="AE75" s="374">
        <f t="shared" si="33"/>
        <v>0</v>
      </c>
      <c r="AF75" s="368">
        <f t="shared" si="34"/>
        <v>0</v>
      </c>
      <c r="AG75" s="376"/>
      <c r="AH75" s="377">
        <f t="shared" si="24"/>
        <v>0</v>
      </c>
      <c r="AI75" s="377">
        <f t="shared" si="25"/>
        <v>0</v>
      </c>
      <c r="AJ75" s="377">
        <f t="shared" si="26"/>
        <v>0</v>
      </c>
      <c r="AK75" s="369"/>
      <c r="AL75" s="370"/>
    </row>
    <row r="76" spans="1:38" x14ac:dyDescent="0.2">
      <c r="A76" s="8">
        <v>14950</v>
      </c>
      <c r="B76" s="8" t="s">
        <v>128</v>
      </c>
      <c r="C76" s="8" t="s">
        <v>21</v>
      </c>
      <c r="D76" s="29" t="s">
        <v>1</v>
      </c>
      <c r="E76" s="378"/>
      <c r="F76" s="358">
        <f>'App 6 - Residual Waste'!F76</f>
        <v>520</v>
      </c>
      <c r="G76" s="359">
        <f t="shared" si="22"/>
        <v>3.7313432835820897</v>
      </c>
      <c r="H76" s="360">
        <f t="shared" si="23"/>
        <v>2.944640753828033</v>
      </c>
      <c r="I76" s="361"/>
      <c r="J76" s="362"/>
      <c r="K76" s="363">
        <f>'App 4 - Recyclables'!F77</f>
        <v>170</v>
      </c>
      <c r="L76" s="364">
        <f t="shared" si="27"/>
        <v>1.2198622273249138</v>
      </c>
      <c r="M76" s="364">
        <f t="shared" si="28"/>
        <v>0.96267101567454927</v>
      </c>
      <c r="N76" s="357"/>
      <c r="O76" s="365">
        <f>'App 5 - Organics'!F76</f>
        <v>0</v>
      </c>
      <c r="P76" s="366"/>
      <c r="Q76" s="367"/>
      <c r="R76" s="368">
        <f>'App 5 - Organics'!J76</f>
        <v>356</v>
      </c>
      <c r="S76" s="369">
        <f t="shared" si="35"/>
        <v>2.5545350172215842</v>
      </c>
      <c r="T76" s="370">
        <f t="shared" si="36"/>
        <v>2.0159463622361149</v>
      </c>
      <c r="V76" s="371">
        <f>'App 1 - Services'!G76</f>
        <v>2680</v>
      </c>
      <c r="W76" s="372">
        <f>'App 1 - Services'!M76</f>
        <v>2680</v>
      </c>
      <c r="X76" s="373">
        <f>'App 1 - Services'!N76</f>
        <v>2680</v>
      </c>
      <c r="Y76" s="374">
        <v>0</v>
      </c>
      <c r="Z76" s="368">
        <v>2680</v>
      </c>
      <c r="AB76" s="375">
        <f>'App 1 - Services'!F76</f>
        <v>3396</v>
      </c>
      <c r="AC76" s="372">
        <f t="shared" si="31"/>
        <v>3396</v>
      </c>
      <c r="AD76" s="373">
        <f t="shared" si="32"/>
        <v>3396</v>
      </c>
      <c r="AE76" s="374">
        <f t="shared" si="33"/>
        <v>0</v>
      </c>
      <c r="AF76" s="368">
        <f t="shared" si="34"/>
        <v>3396</v>
      </c>
      <c r="AG76" s="376"/>
      <c r="AH76" s="377">
        <f t="shared" si="24"/>
        <v>2680</v>
      </c>
      <c r="AI76" s="377">
        <f t="shared" si="25"/>
        <v>3396</v>
      </c>
      <c r="AJ76" s="377">
        <f t="shared" si="26"/>
        <v>356</v>
      </c>
      <c r="AK76" s="369"/>
      <c r="AL76" s="370"/>
    </row>
    <row r="77" spans="1:38" x14ac:dyDescent="0.2">
      <c r="A77" s="8">
        <v>15050</v>
      </c>
      <c r="B77" s="8" t="s">
        <v>129</v>
      </c>
      <c r="C77" s="8" t="s">
        <v>23</v>
      </c>
      <c r="D77" s="29" t="s">
        <v>2</v>
      </c>
      <c r="E77" s="357"/>
      <c r="F77" s="358">
        <f>'App 6 - Residual Waste'!F77</f>
        <v>24870.78</v>
      </c>
      <c r="G77" s="359">
        <f t="shared" si="22"/>
        <v>13.826040839743033</v>
      </c>
      <c r="H77" s="360">
        <f t="shared" si="23"/>
        <v>5.3222411761354387</v>
      </c>
      <c r="I77" s="361"/>
      <c r="J77" s="362"/>
      <c r="K77" s="363">
        <f>'App 4 - Recyclables'!F78</f>
        <v>5671.21</v>
      </c>
      <c r="L77" s="364">
        <f t="shared" si="27"/>
        <v>3.1527109753195957</v>
      </c>
      <c r="M77" s="364">
        <f t="shared" si="28"/>
        <v>1.2136148275410366</v>
      </c>
      <c r="N77" s="357"/>
      <c r="O77" s="365">
        <f>'App 5 - Organics'!F77</f>
        <v>10330.31</v>
      </c>
      <c r="P77" s="366">
        <f t="shared" si="29"/>
        <v>5.7427747721304216</v>
      </c>
      <c r="Q77" s="367">
        <f t="shared" si="30"/>
        <v>2.2106424183014637</v>
      </c>
      <c r="R77" s="368">
        <f>'App 5 - Organics'!J77</f>
        <v>0</v>
      </c>
      <c r="S77" s="369"/>
      <c r="T77" s="370"/>
      <c r="V77" s="371">
        <f>'App 1 - Services'!G77</f>
        <v>36938</v>
      </c>
      <c r="W77" s="372">
        <f>'App 1 - Services'!M77</f>
        <v>34593</v>
      </c>
      <c r="X77" s="373">
        <f>'App 1 - Services'!N77</f>
        <v>34593</v>
      </c>
      <c r="Y77" s="374">
        <v>34593</v>
      </c>
      <c r="Z77" s="368">
        <v>0</v>
      </c>
      <c r="AB77" s="375">
        <f>'App 1 - Services'!F77</f>
        <v>95957</v>
      </c>
      <c r="AC77" s="372">
        <f t="shared" si="31"/>
        <v>89865.193053224313</v>
      </c>
      <c r="AD77" s="373">
        <f t="shared" si="32"/>
        <v>89865.193053224313</v>
      </c>
      <c r="AE77" s="374">
        <f t="shared" si="33"/>
        <v>89865.193053224313</v>
      </c>
      <c r="AF77" s="368">
        <f t="shared" si="34"/>
        <v>0</v>
      </c>
      <c r="AG77" s="376"/>
      <c r="AH77" s="377">
        <f t="shared" si="24"/>
        <v>34593</v>
      </c>
      <c r="AI77" s="377">
        <f t="shared" si="25"/>
        <v>89865.193053224313</v>
      </c>
      <c r="AJ77" s="377">
        <f t="shared" si="26"/>
        <v>10330.31</v>
      </c>
      <c r="AK77" s="369">
        <f>(AJ77*1000)/AE77/52</f>
        <v>2.2106424183014637</v>
      </c>
      <c r="AL77" s="370"/>
    </row>
    <row r="78" spans="1:38" x14ac:dyDescent="0.2">
      <c r="A78" s="8">
        <v>15240</v>
      </c>
      <c r="B78" s="8" t="s">
        <v>130</v>
      </c>
      <c r="C78" s="8" t="s">
        <v>39</v>
      </c>
      <c r="D78" s="29" t="s">
        <v>3</v>
      </c>
      <c r="E78" s="357"/>
      <c r="F78" s="358">
        <f>'App 6 - Residual Waste'!F78</f>
        <v>21935.18</v>
      </c>
      <c r="G78" s="359">
        <f t="shared" si="22"/>
        <v>9.0397390839916127</v>
      </c>
      <c r="H78" s="360">
        <f t="shared" si="23"/>
        <v>4.6487132222673884</v>
      </c>
      <c r="I78" s="361"/>
      <c r="J78" s="362"/>
      <c r="K78" s="363">
        <f>'App 4 - Recyclables'!F79</f>
        <v>7990.24</v>
      </c>
      <c r="L78" s="364">
        <f t="shared" si="27"/>
        <v>3.3291113081389536</v>
      </c>
      <c r="M78" s="364">
        <f t="shared" si="28"/>
        <v>1.7120055803327203</v>
      </c>
      <c r="N78" s="357"/>
      <c r="O78" s="365">
        <f>'App 5 - Organics'!F78</f>
        <v>10310.32</v>
      </c>
      <c r="P78" s="366">
        <f t="shared" si="29"/>
        <v>5.1036135036135031</v>
      </c>
      <c r="Q78" s="367">
        <f t="shared" si="30"/>
        <v>2.6245487126509301</v>
      </c>
      <c r="R78" s="368">
        <f>'App 5 - Organics'!J78</f>
        <v>0</v>
      </c>
      <c r="S78" s="369"/>
      <c r="T78" s="370"/>
      <c r="V78" s="371">
        <f>'App 1 - Services'!G78</f>
        <v>50350</v>
      </c>
      <c r="W78" s="372">
        <f>'App 1 - Services'!M78</f>
        <v>46664</v>
      </c>
      <c r="X78" s="373">
        <f>'App 1 - Services'!N78</f>
        <v>46156</v>
      </c>
      <c r="Y78" s="374">
        <v>38850</v>
      </c>
      <c r="Z78" s="368">
        <v>0</v>
      </c>
      <c r="AB78" s="375">
        <f>'App 1 - Services'!F78</f>
        <v>97909</v>
      </c>
      <c r="AC78" s="372">
        <f t="shared" si="31"/>
        <v>90741.322264150935</v>
      </c>
      <c r="AD78" s="373">
        <f t="shared" si="32"/>
        <v>89753.481708043691</v>
      </c>
      <c r="AE78" s="374">
        <f t="shared" si="33"/>
        <v>75546.46772591857</v>
      </c>
      <c r="AF78" s="368">
        <f t="shared" si="34"/>
        <v>0</v>
      </c>
      <c r="AG78" s="376"/>
      <c r="AH78" s="377">
        <f t="shared" si="24"/>
        <v>38850</v>
      </c>
      <c r="AI78" s="377">
        <f t="shared" si="25"/>
        <v>75546.46772591857</v>
      </c>
      <c r="AJ78" s="377">
        <f t="shared" si="26"/>
        <v>10310.32</v>
      </c>
      <c r="AK78" s="369">
        <f>(AJ78*1000)/AE78/52</f>
        <v>2.6245487126509301</v>
      </c>
      <c r="AL78" s="370"/>
    </row>
    <row r="79" spans="1:38" x14ac:dyDescent="0.2">
      <c r="A79" s="8">
        <v>15270</v>
      </c>
      <c r="B79" s="8" t="s">
        <v>131</v>
      </c>
      <c r="C79" s="8" t="s">
        <v>38</v>
      </c>
      <c r="D79" s="29" t="s">
        <v>1</v>
      </c>
      <c r="E79" s="357"/>
      <c r="F79" s="358">
        <f>'App 6 - Residual Waste'!F79</f>
        <v>3754.32</v>
      </c>
      <c r="G79" s="359">
        <f t="shared" si="22"/>
        <v>8.5960782877082433</v>
      </c>
      <c r="H79" s="360">
        <f t="shared" si="23"/>
        <v>5.307342961941389</v>
      </c>
      <c r="I79" s="361"/>
      <c r="J79" s="362"/>
      <c r="K79" s="363">
        <f>'App 4 - Recyclables'!F80</f>
        <v>1008.96</v>
      </c>
      <c r="L79" s="364">
        <f t="shared" si="27"/>
        <v>1.1550825647741947</v>
      </c>
      <c r="M79" s="364">
        <f t="shared" si="28"/>
        <v>0.71316466828618552</v>
      </c>
      <c r="N79" s="357"/>
      <c r="O79" s="365">
        <f>'App 5 - Organics'!F79</f>
        <v>0</v>
      </c>
      <c r="P79" s="366"/>
      <c r="Q79" s="367"/>
      <c r="R79" s="368">
        <f>'App 5 - Organics'!J79</f>
        <v>2288.2600000000002</v>
      </c>
      <c r="S79" s="369">
        <f t="shared" si="35"/>
        <v>5.2393142040719134</v>
      </c>
      <c r="T79" s="370">
        <f t="shared" si="36"/>
        <v>3.2348283060825933</v>
      </c>
      <c r="V79" s="371">
        <f>'App 1 - Services'!G79</f>
        <v>16004</v>
      </c>
      <c r="W79" s="372">
        <f>'App 1 - Services'!M79</f>
        <v>8399</v>
      </c>
      <c r="X79" s="373">
        <f>'App 1 - Services'!N79</f>
        <v>16798</v>
      </c>
      <c r="Y79" s="374">
        <v>0</v>
      </c>
      <c r="Z79" s="368">
        <v>8399</v>
      </c>
      <c r="AB79" s="375">
        <f>'App 1 - Services'!F79</f>
        <v>25921</v>
      </c>
      <c r="AC79" s="372">
        <f t="shared" si="31"/>
        <v>13603.504061484628</v>
      </c>
      <c r="AD79" s="373">
        <f t="shared" si="32"/>
        <v>27207.008122969255</v>
      </c>
      <c r="AE79" s="374">
        <f t="shared" si="33"/>
        <v>0</v>
      </c>
      <c r="AF79" s="368">
        <f t="shared" si="34"/>
        <v>13603.504061484628</v>
      </c>
      <c r="AG79" s="376" t="s">
        <v>330</v>
      </c>
      <c r="AH79" s="377">
        <f t="shared" si="24"/>
        <v>8399</v>
      </c>
      <c r="AI79" s="377">
        <f t="shared" si="25"/>
        <v>13603.504061484628</v>
      </c>
      <c r="AJ79" s="377">
        <f t="shared" si="26"/>
        <v>2288.2600000000002</v>
      </c>
      <c r="AK79" s="369"/>
      <c r="AL79" s="370">
        <f>(AJ79*1000)/AF79/52</f>
        <v>3.2348283060825933</v>
      </c>
    </row>
    <row r="80" spans="1:38" x14ac:dyDescent="0.2">
      <c r="A80" s="8">
        <v>15300</v>
      </c>
      <c r="B80" s="8" t="s">
        <v>132</v>
      </c>
      <c r="C80" s="8" t="s">
        <v>16</v>
      </c>
      <c r="D80" s="29" t="s">
        <v>1</v>
      </c>
      <c r="E80" s="357"/>
      <c r="F80" s="358">
        <f>'App 6 - Residual Waste'!F80</f>
        <v>2562.09</v>
      </c>
      <c r="G80" s="359">
        <f t="shared" si="22"/>
        <v>10.764903110872087</v>
      </c>
      <c r="H80" s="360">
        <f t="shared" si="23"/>
        <v>5.3176430421840744</v>
      </c>
      <c r="I80" s="361"/>
      <c r="J80" s="362"/>
      <c r="K80" s="363">
        <f>'App 4 - Recyclables'!F81</f>
        <v>623.20000000000005</v>
      </c>
      <c r="L80" s="364">
        <f t="shared" si="27"/>
        <v>2.5840050419610572</v>
      </c>
      <c r="M80" s="364">
        <f t="shared" si="28"/>
        <v>1.2764458993109893</v>
      </c>
      <c r="N80" s="357"/>
      <c r="O80" s="365">
        <f>'App 5 - Organics'!F80</f>
        <v>0</v>
      </c>
      <c r="P80" s="366"/>
      <c r="Q80" s="367"/>
      <c r="R80" s="368">
        <f>'App 5 - Organics'!J80</f>
        <v>842.98</v>
      </c>
      <c r="S80" s="369">
        <f t="shared" si="35"/>
        <v>3.5418732458278011</v>
      </c>
      <c r="T80" s="370">
        <f t="shared" si="36"/>
        <v>1.7496132968398188</v>
      </c>
      <c r="V80" s="371">
        <f>'App 1 - Services'!G80</f>
        <v>6359</v>
      </c>
      <c r="W80" s="372">
        <f>'App 1 - Services'!M80</f>
        <v>4577</v>
      </c>
      <c r="X80" s="373">
        <f>'App 1 - Services'!N80</f>
        <v>4638</v>
      </c>
      <c r="Y80" s="374">
        <v>0</v>
      </c>
      <c r="Z80" s="368">
        <v>4577</v>
      </c>
      <c r="AB80" s="375">
        <f>'App 1 - Services'!F80</f>
        <v>12873</v>
      </c>
      <c r="AC80" s="372">
        <f t="shared" si="31"/>
        <v>9265.5639251454631</v>
      </c>
      <c r="AD80" s="373">
        <f t="shared" si="32"/>
        <v>9389.0507941500236</v>
      </c>
      <c r="AE80" s="374">
        <f t="shared" si="33"/>
        <v>0</v>
      </c>
      <c r="AF80" s="368">
        <f t="shared" si="34"/>
        <v>9265.5639251454631</v>
      </c>
      <c r="AG80" s="376" t="s">
        <v>13</v>
      </c>
      <c r="AH80" s="377">
        <f t="shared" si="24"/>
        <v>4577</v>
      </c>
      <c r="AI80" s="377">
        <f t="shared" si="25"/>
        <v>9265.5639251454631</v>
      </c>
      <c r="AJ80" s="377">
        <f t="shared" si="26"/>
        <v>842.98</v>
      </c>
      <c r="AK80" s="369"/>
      <c r="AL80" s="370">
        <f>(AJ80*1000)/AF80/52</f>
        <v>1.7496132968398188</v>
      </c>
    </row>
    <row r="81" spans="1:38" x14ac:dyDescent="0.2">
      <c r="A81" s="8">
        <v>15350</v>
      </c>
      <c r="B81" s="8" t="s">
        <v>133</v>
      </c>
      <c r="C81" s="8" t="s">
        <v>24</v>
      </c>
      <c r="D81" s="29" t="s">
        <v>2</v>
      </c>
      <c r="E81" s="357"/>
      <c r="F81" s="358">
        <f>'App 6 - Residual Waste'!F81</f>
        <v>5907</v>
      </c>
      <c r="G81" s="359">
        <f t="shared" si="22"/>
        <v>8.5090751944684531</v>
      </c>
      <c r="H81" s="360">
        <f t="shared" si="23"/>
        <v>3.9075420125263611</v>
      </c>
      <c r="I81" s="361"/>
      <c r="J81" s="362"/>
      <c r="K81" s="363">
        <f>'App 4 - Recyclables'!F82</f>
        <v>2298</v>
      </c>
      <c r="L81" s="364">
        <f t="shared" si="27"/>
        <v>3.3102852203975797</v>
      </c>
      <c r="M81" s="364">
        <f t="shared" si="28"/>
        <v>1.5201509302159435</v>
      </c>
      <c r="N81" s="357"/>
      <c r="O81" s="365">
        <f>'App 5 - Organics'!F81</f>
        <v>1772</v>
      </c>
      <c r="P81" s="366">
        <f t="shared" si="29"/>
        <v>2.5525785076346872</v>
      </c>
      <c r="Q81" s="367">
        <f t="shared" si="30"/>
        <v>1.1721964527165587</v>
      </c>
      <c r="R81" s="368">
        <f>'App 5 - Organics'!J81</f>
        <v>0</v>
      </c>
      <c r="S81" s="369"/>
      <c r="T81" s="370"/>
      <c r="V81" s="371">
        <f>'App 1 - Services'!G81</f>
        <v>13350</v>
      </c>
      <c r="W81" s="372">
        <f>'App 1 - Services'!M81</f>
        <v>13350</v>
      </c>
      <c r="X81" s="373">
        <f>'App 1 - Services'!N81</f>
        <v>13350</v>
      </c>
      <c r="Y81" s="374">
        <v>13350</v>
      </c>
      <c r="Z81" s="368">
        <v>0</v>
      </c>
      <c r="AB81" s="375">
        <f>'App 1 - Services'!F81</f>
        <v>29071</v>
      </c>
      <c r="AC81" s="372">
        <f t="shared" si="31"/>
        <v>29071</v>
      </c>
      <c r="AD81" s="373">
        <f t="shared" si="32"/>
        <v>29071</v>
      </c>
      <c r="AE81" s="374">
        <f t="shared" si="33"/>
        <v>29071</v>
      </c>
      <c r="AF81" s="368">
        <f t="shared" si="34"/>
        <v>0</v>
      </c>
      <c r="AG81" s="376"/>
      <c r="AH81" s="377">
        <f t="shared" si="24"/>
        <v>13350</v>
      </c>
      <c r="AI81" s="377">
        <f t="shared" si="25"/>
        <v>29071</v>
      </c>
      <c r="AJ81" s="377">
        <f t="shared" si="26"/>
        <v>1772</v>
      </c>
      <c r="AK81" s="369">
        <f>(AJ81*1000)/AE81/52</f>
        <v>1.1721964527165587</v>
      </c>
      <c r="AL81" s="370"/>
    </row>
    <row r="82" spans="1:38" x14ac:dyDescent="0.2">
      <c r="A82" s="8">
        <v>15520</v>
      </c>
      <c r="B82" s="8" t="s">
        <v>134</v>
      </c>
      <c r="C82" s="8" t="s">
        <v>66</v>
      </c>
      <c r="D82" s="29" t="s">
        <v>1</v>
      </c>
      <c r="E82" s="357"/>
      <c r="F82" s="358">
        <f>'App 6 - Residual Waste'!F82</f>
        <v>2388</v>
      </c>
      <c r="G82" s="359">
        <f t="shared" si="22"/>
        <v>7.7901742023879432</v>
      </c>
      <c r="H82" s="360">
        <f t="shared" si="23"/>
        <v>5.208064082926172</v>
      </c>
      <c r="I82" s="361"/>
      <c r="J82" s="362"/>
      <c r="K82" s="363">
        <f>'App 4 - Recyclables'!F83</f>
        <v>937</v>
      </c>
      <c r="L82" s="364">
        <f t="shared" si="27"/>
        <v>5.956770502225047</v>
      </c>
      <c r="M82" s="364">
        <f t="shared" si="28"/>
        <v>3.9823554258084153</v>
      </c>
      <c r="N82" s="357"/>
      <c r="O82" s="365">
        <f>'App 5 - Organics'!F82</f>
        <v>0</v>
      </c>
      <c r="P82" s="366"/>
      <c r="Q82" s="367"/>
      <c r="R82" s="368">
        <f>'App 5 - Organics'!J82</f>
        <v>1456</v>
      </c>
      <c r="S82" s="369">
        <f t="shared" ref="S82" si="37">(R82*1000)/Z82/52</f>
        <v>13.377926421404682</v>
      </c>
      <c r="T82" s="370">
        <f t="shared" ref="T82" si="38">(R82*1000)/AF82/52</f>
        <v>8.9437150298885122</v>
      </c>
      <c r="V82" s="371">
        <f>'App 1 - Services'!G82</f>
        <v>8909</v>
      </c>
      <c r="W82" s="372">
        <f>'App 1 - Services'!M82</f>
        <v>5895</v>
      </c>
      <c r="X82" s="373">
        <f>'App 1 - Services'!N82</f>
        <v>3025</v>
      </c>
      <c r="Y82" s="374">
        <v>0</v>
      </c>
      <c r="Z82" s="368">
        <v>2093</v>
      </c>
      <c r="AB82" s="375">
        <f>'App 1 - Services'!F82</f>
        <v>13326</v>
      </c>
      <c r="AC82" s="372">
        <f t="shared" si="31"/>
        <v>8817.6866090470321</v>
      </c>
      <c r="AD82" s="373">
        <f t="shared" si="32"/>
        <v>4524.7670894600969</v>
      </c>
      <c r="AE82" s="374">
        <f t="shared" si="33"/>
        <v>0</v>
      </c>
      <c r="AF82" s="368">
        <f t="shared" si="34"/>
        <v>3130.6900886743742</v>
      </c>
      <c r="AG82" s="376"/>
      <c r="AH82" s="377">
        <f t="shared" si="24"/>
        <v>2093</v>
      </c>
      <c r="AI82" s="377">
        <f t="shared" si="25"/>
        <v>3130.6900886743742</v>
      </c>
      <c r="AJ82" s="377">
        <f t="shared" si="26"/>
        <v>1456</v>
      </c>
      <c r="AK82" s="369" t="s">
        <v>419</v>
      </c>
      <c r="AL82" s="370"/>
    </row>
    <row r="83" spans="1:38" x14ac:dyDescent="0.2">
      <c r="A83" s="8">
        <v>15560</v>
      </c>
      <c r="B83" s="8" t="s">
        <v>135</v>
      </c>
      <c r="C83" s="8" t="s">
        <v>68</v>
      </c>
      <c r="D83" s="29" t="s">
        <v>1</v>
      </c>
      <c r="E83" s="357"/>
      <c r="F83" s="358">
        <f>'App 6 - Residual Waste'!F83</f>
        <v>650</v>
      </c>
      <c r="G83" s="359">
        <f t="shared" si="22"/>
        <v>10.237510237510238</v>
      </c>
      <c r="H83" s="360">
        <f t="shared" si="23"/>
        <v>6.8543352435783822</v>
      </c>
      <c r="I83" s="361"/>
      <c r="J83" s="362"/>
      <c r="K83" s="363">
        <f>'App 4 - Recyclables'!F84</f>
        <v>96.68</v>
      </c>
      <c r="L83" s="364">
        <f t="shared" si="27"/>
        <v>2.3240384615384615</v>
      </c>
      <c r="M83" s="364">
        <f t="shared" si="28"/>
        <v>1.5560168795717728</v>
      </c>
      <c r="N83" s="357"/>
      <c r="O83" s="365">
        <f>'App 5 - Organics'!F83</f>
        <v>0</v>
      </c>
      <c r="P83" s="366"/>
      <c r="Q83" s="367"/>
      <c r="R83" s="368">
        <f>'App 5 - Organics'!J83</f>
        <v>0</v>
      </c>
      <c r="S83" s="369"/>
      <c r="T83" s="370"/>
      <c r="V83" s="371">
        <f>'App 1 - Services'!G83</f>
        <v>2415</v>
      </c>
      <c r="W83" s="372">
        <f>'App 1 - Services'!M83</f>
        <v>1221</v>
      </c>
      <c r="X83" s="373">
        <f>'App 1 - Services'!N83</f>
        <v>800</v>
      </c>
      <c r="Y83" s="374">
        <v>0</v>
      </c>
      <c r="Z83" s="368">
        <v>0</v>
      </c>
      <c r="AA83" s="2">
        <v>1</v>
      </c>
      <c r="AB83" s="375">
        <f>'App 1 - Services'!F83</f>
        <v>3607</v>
      </c>
      <c r="AC83" s="372">
        <f t="shared" si="31"/>
        <v>1823.663354037267</v>
      </c>
      <c r="AD83" s="373">
        <f t="shared" si="32"/>
        <v>1194.8654244306417</v>
      </c>
      <c r="AE83" s="374">
        <f t="shared" si="33"/>
        <v>0</v>
      </c>
      <c r="AF83" s="368">
        <f t="shared" si="34"/>
        <v>0</v>
      </c>
      <c r="AG83" s="376"/>
      <c r="AH83" s="377">
        <f t="shared" si="24"/>
        <v>0</v>
      </c>
      <c r="AI83" s="377">
        <f t="shared" si="25"/>
        <v>0</v>
      </c>
      <c r="AJ83" s="377">
        <f t="shared" si="26"/>
        <v>0</v>
      </c>
      <c r="AK83" s="369"/>
      <c r="AL83" s="370"/>
    </row>
    <row r="84" spans="1:38" x14ac:dyDescent="0.2">
      <c r="A84" s="8">
        <v>15650</v>
      </c>
      <c r="B84" s="8" t="s">
        <v>136</v>
      </c>
      <c r="C84" s="8" t="s">
        <v>23</v>
      </c>
      <c r="D84" s="29" t="s">
        <v>3</v>
      </c>
      <c r="E84" s="357"/>
      <c r="F84" s="358">
        <f>'App 6 - Residual Waste'!F84</f>
        <v>3407.44</v>
      </c>
      <c r="G84" s="359">
        <f t="shared" si="22"/>
        <v>9.1749779204273736</v>
      </c>
      <c r="H84" s="360">
        <f t="shared" si="23"/>
        <v>4.5032747153843982</v>
      </c>
      <c r="I84" s="361"/>
      <c r="J84" s="362"/>
      <c r="K84" s="363">
        <f>'App 4 - Recyclables'!F85</f>
        <v>1007.11</v>
      </c>
      <c r="L84" s="364">
        <f t="shared" si="27"/>
        <v>2.9920438745558475</v>
      </c>
      <c r="M84" s="364">
        <f t="shared" si="28"/>
        <v>1.4685589049330912</v>
      </c>
      <c r="N84" s="357"/>
      <c r="O84" s="365">
        <f>'App 5 - Organics'!F84</f>
        <v>1611.66</v>
      </c>
      <c r="P84" s="366">
        <f t="shared" si="29"/>
        <v>5.1245802808302807</v>
      </c>
      <c r="Q84" s="367">
        <f t="shared" si="30"/>
        <v>2.5152532252138133</v>
      </c>
      <c r="R84" s="368">
        <f>'App 5 - Organics'!J84</f>
        <v>0</v>
      </c>
      <c r="S84" s="369"/>
      <c r="T84" s="370"/>
      <c r="V84" s="371">
        <f>'App 1 - Services'!G84</f>
        <v>8235</v>
      </c>
      <c r="W84" s="372">
        <f>'App 1 - Services'!M84</f>
        <v>7142</v>
      </c>
      <c r="X84" s="373">
        <f>'App 1 - Services'!N84</f>
        <v>6473</v>
      </c>
      <c r="Y84" s="374">
        <v>6048</v>
      </c>
      <c r="Z84" s="368">
        <v>0</v>
      </c>
      <c r="AB84" s="375">
        <f>'App 1 - Services'!F84</f>
        <v>16778</v>
      </c>
      <c r="AC84" s="372">
        <f t="shared" si="31"/>
        <v>14551.120340012143</v>
      </c>
      <c r="AD84" s="373">
        <f t="shared" si="32"/>
        <v>13188.098846387371</v>
      </c>
      <c r="AE84" s="374">
        <f t="shared" si="33"/>
        <v>12322.203278688525</v>
      </c>
      <c r="AF84" s="368">
        <f t="shared" si="34"/>
        <v>0</v>
      </c>
      <c r="AG84" s="376"/>
      <c r="AH84" s="377">
        <f t="shared" si="24"/>
        <v>6048</v>
      </c>
      <c r="AI84" s="377">
        <f t="shared" si="25"/>
        <v>12322.203278688525</v>
      </c>
      <c r="AJ84" s="377">
        <f t="shared" si="26"/>
        <v>1611.66</v>
      </c>
      <c r="AK84" s="369">
        <f>(AJ84*1000)/AE84/52</f>
        <v>2.5152532252138133</v>
      </c>
      <c r="AL84" s="370"/>
    </row>
    <row r="85" spans="1:38" x14ac:dyDescent="0.2">
      <c r="A85" s="8">
        <v>15700</v>
      </c>
      <c r="B85" s="8" t="s">
        <v>54</v>
      </c>
      <c r="C85" s="8" t="s">
        <v>39</v>
      </c>
      <c r="D85" s="29" t="s">
        <v>3</v>
      </c>
      <c r="E85" s="357"/>
      <c r="F85" s="358">
        <f>'App 6 - Residual Waste'!F85</f>
        <v>3335</v>
      </c>
      <c r="G85" s="359">
        <f t="shared" si="22"/>
        <v>8.2861260186841594</v>
      </c>
      <c r="H85" s="360">
        <f t="shared" si="23"/>
        <v>4.3532675155443776</v>
      </c>
      <c r="I85" s="361"/>
      <c r="J85" s="362"/>
      <c r="K85" s="363">
        <f>'App 4 - Recyclables'!F86</f>
        <v>1516</v>
      </c>
      <c r="L85" s="364">
        <f t="shared" si="27"/>
        <v>3.7666467899026039</v>
      </c>
      <c r="M85" s="364">
        <f t="shared" si="28"/>
        <v>1.9788766277557051</v>
      </c>
      <c r="N85" s="357"/>
      <c r="O85" s="365">
        <f>'App 5 - Organics'!F85</f>
        <v>0</v>
      </c>
      <c r="P85" s="366"/>
      <c r="Q85" s="367"/>
      <c r="R85" s="368">
        <f>'App 5 - Organics'!J85</f>
        <v>2720</v>
      </c>
      <c r="S85" s="369">
        <f>(R85*1000)/Z85/52</f>
        <v>6.7580997813555959</v>
      </c>
      <c r="T85" s="370">
        <f>(R85*1000)/AF85/52</f>
        <v>3.5504910471606319</v>
      </c>
      <c r="V85" s="371">
        <f>'App 1 - Services'!G85</f>
        <v>10914</v>
      </c>
      <c r="W85" s="372">
        <f>'App 1 - Services'!M85</f>
        <v>7740</v>
      </c>
      <c r="X85" s="373">
        <f>'App 1 - Services'!N85</f>
        <v>7740</v>
      </c>
      <c r="Y85" s="374">
        <v>0</v>
      </c>
      <c r="Z85" s="368">
        <v>7740</v>
      </c>
      <c r="AB85" s="375">
        <f>'App 1 - Services'!F85</f>
        <v>20774</v>
      </c>
      <c r="AC85" s="372">
        <f t="shared" si="31"/>
        <v>14732.523364485982</v>
      </c>
      <c r="AD85" s="373">
        <f t="shared" si="32"/>
        <v>14732.523364485982</v>
      </c>
      <c r="AE85" s="374">
        <f t="shared" si="33"/>
        <v>0</v>
      </c>
      <c r="AF85" s="368">
        <f t="shared" si="34"/>
        <v>14732.523364485982</v>
      </c>
      <c r="AG85" s="376" t="s">
        <v>13</v>
      </c>
      <c r="AH85" s="377">
        <f t="shared" si="24"/>
        <v>7740</v>
      </c>
      <c r="AI85" s="377">
        <f t="shared" si="25"/>
        <v>14732.523364485982</v>
      </c>
      <c r="AJ85" s="377">
        <f>O85+R85</f>
        <v>2720</v>
      </c>
      <c r="AK85" s="369"/>
      <c r="AL85" s="370">
        <f>(AJ85*1000)/AF85/52</f>
        <v>3.5504910471606319</v>
      </c>
    </row>
    <row r="86" spans="1:38" x14ac:dyDescent="0.2">
      <c r="A86" s="8">
        <v>15750</v>
      </c>
      <c r="B86" s="8" t="s">
        <v>137</v>
      </c>
      <c r="C86" s="8" t="s">
        <v>16</v>
      </c>
      <c r="D86" s="29" t="s">
        <v>1</v>
      </c>
      <c r="E86" s="357"/>
      <c r="F86" s="358">
        <f>'App 6 - Residual Waste'!F86</f>
        <v>2373.94</v>
      </c>
      <c r="G86" s="359">
        <f t="shared" si="22"/>
        <v>10.38977976961591</v>
      </c>
      <c r="H86" s="360">
        <f t="shared" si="23"/>
        <v>5.6274579464094963</v>
      </c>
      <c r="I86" s="361"/>
      <c r="J86" s="362"/>
      <c r="K86" s="363">
        <f>'App 4 - Recyclables'!F87</f>
        <v>532.96</v>
      </c>
      <c r="L86" s="364">
        <f t="shared" si="27"/>
        <v>2.3703123888137765</v>
      </c>
      <c r="M86" s="364">
        <f t="shared" si="28"/>
        <v>1.2838417737122134</v>
      </c>
      <c r="N86" s="357"/>
      <c r="O86" s="365">
        <f>'App 5 - Organics'!F86</f>
        <v>0</v>
      </c>
      <c r="P86" s="366"/>
      <c r="Q86" s="367"/>
      <c r="R86" s="368">
        <f>'App 5 - Organics'!J86</f>
        <v>837.13</v>
      </c>
      <c r="S86" s="369">
        <f>(R86*1000)/Z86/52</f>
        <v>3.7230929338931187</v>
      </c>
      <c r="T86" s="370">
        <f>(R86*1000)/AF86/52</f>
        <v>2.0165537076472999</v>
      </c>
      <c r="V86" s="371">
        <f>'App 1 - Services'!G86</f>
        <v>6908</v>
      </c>
      <c r="W86" s="372">
        <f>'App 1 - Services'!M86</f>
        <v>4394</v>
      </c>
      <c r="X86" s="373">
        <f>'App 1 - Services'!N86</f>
        <v>4324</v>
      </c>
      <c r="Y86" s="374">
        <v>0</v>
      </c>
      <c r="Z86" s="368">
        <v>4324</v>
      </c>
      <c r="AB86" s="375">
        <f>'App 1 - Services'!F86</f>
        <v>12754</v>
      </c>
      <c r="AC86" s="372">
        <f t="shared" si="31"/>
        <v>8112.4892877822813</v>
      </c>
      <c r="AD86" s="373">
        <f t="shared" si="32"/>
        <v>7983.2507237984946</v>
      </c>
      <c r="AE86" s="374">
        <f t="shared" si="33"/>
        <v>0</v>
      </c>
      <c r="AF86" s="368">
        <f t="shared" si="34"/>
        <v>7983.2507237984946</v>
      </c>
      <c r="AG86" s="376" t="s">
        <v>13</v>
      </c>
      <c r="AH86" s="377">
        <f t="shared" si="24"/>
        <v>4324</v>
      </c>
      <c r="AI86" s="377">
        <f t="shared" si="25"/>
        <v>7983.2507237984946</v>
      </c>
      <c r="AJ86" s="377">
        <f>O86+R86</f>
        <v>837.13</v>
      </c>
      <c r="AK86" s="369"/>
      <c r="AL86" s="370">
        <f>(AJ86*1000)/AF86/52</f>
        <v>2.0165537076472999</v>
      </c>
    </row>
    <row r="87" spans="1:38" x14ac:dyDescent="0.2">
      <c r="A87" s="8">
        <v>15800</v>
      </c>
      <c r="B87" s="8" t="s">
        <v>138</v>
      </c>
      <c r="C87" s="8" t="s">
        <v>68</v>
      </c>
      <c r="D87" s="29" t="s">
        <v>1</v>
      </c>
      <c r="E87" s="357"/>
      <c r="F87" s="358">
        <f>'App 6 - Residual Waste'!F87</f>
        <v>2678</v>
      </c>
      <c r="G87" s="359">
        <f t="shared" si="22"/>
        <v>21.245874587458747</v>
      </c>
      <c r="H87" s="360">
        <f t="shared" si="23"/>
        <v>7.9616040925947829</v>
      </c>
      <c r="I87" s="361"/>
      <c r="J87" s="362"/>
      <c r="K87" s="363">
        <f>'App 4 - Recyclables'!F88</f>
        <v>840</v>
      </c>
      <c r="L87" s="364">
        <f t="shared" si="27"/>
        <v>7.4925074925074933</v>
      </c>
      <c r="M87" s="364">
        <f t="shared" si="28"/>
        <v>2.8077158259870836</v>
      </c>
      <c r="N87" s="357"/>
      <c r="O87" s="365">
        <f>'App 5 - Organics'!F87</f>
        <v>0</v>
      </c>
      <c r="P87" s="366"/>
      <c r="Q87" s="367"/>
      <c r="R87" s="368">
        <f>'App 5 - Organics'!J87</f>
        <v>0</v>
      </c>
      <c r="S87" s="369"/>
      <c r="T87" s="370"/>
      <c r="V87" s="371">
        <f>'App 1 - Services'!G87</f>
        <v>2133</v>
      </c>
      <c r="W87" s="372">
        <f>'App 1 - Services'!M87</f>
        <v>2424</v>
      </c>
      <c r="X87" s="373">
        <f>'App 1 - Services'!N87</f>
        <v>2156</v>
      </c>
      <c r="Y87" s="374">
        <v>0</v>
      </c>
      <c r="Z87" s="368">
        <v>0</v>
      </c>
      <c r="AA87" s="2">
        <v>1</v>
      </c>
      <c r="AB87" s="375">
        <f>'App 1 - Services'!F87</f>
        <v>5692</v>
      </c>
      <c r="AC87" s="372">
        <f t="shared" si="31"/>
        <v>6468.545710267229</v>
      </c>
      <c r="AD87" s="373">
        <f t="shared" si="32"/>
        <v>5753.376465072668</v>
      </c>
      <c r="AE87" s="374">
        <f t="shared" si="33"/>
        <v>0</v>
      </c>
      <c r="AF87" s="368">
        <f t="shared" si="34"/>
        <v>0</v>
      </c>
      <c r="AG87" s="376"/>
      <c r="AH87" s="377">
        <f t="shared" si="24"/>
        <v>0</v>
      </c>
      <c r="AI87" s="377">
        <f t="shared" si="25"/>
        <v>0</v>
      </c>
      <c r="AJ87" s="377">
        <f t="shared" si="26"/>
        <v>0</v>
      </c>
      <c r="AK87" s="369"/>
      <c r="AL87" s="370"/>
    </row>
    <row r="88" spans="1:38" x14ac:dyDescent="0.2">
      <c r="A88" s="8">
        <v>15850</v>
      </c>
      <c r="B88" s="8" t="s">
        <v>139</v>
      </c>
      <c r="C88" s="8" t="s">
        <v>38</v>
      </c>
      <c r="D88" s="29" t="s">
        <v>1</v>
      </c>
      <c r="E88" s="378"/>
      <c r="F88" s="358">
        <f>'App 6 - Residual Waste'!F88</f>
        <v>1304.44</v>
      </c>
      <c r="G88" s="359">
        <f t="shared" si="22"/>
        <v>8.5674127784783529</v>
      </c>
      <c r="H88" s="360">
        <f t="shared" si="23"/>
        <v>4.5556349804542657</v>
      </c>
      <c r="I88" s="361"/>
      <c r="J88" s="362"/>
      <c r="K88" s="363">
        <f>'App 4 - Recyclables'!F89</f>
        <v>258.01</v>
      </c>
      <c r="L88" s="364">
        <f t="shared" si="27"/>
        <v>2.0847608274078864</v>
      </c>
      <c r="M88" s="364">
        <f t="shared" si="28"/>
        <v>1.1085504570385565</v>
      </c>
      <c r="N88" s="357"/>
      <c r="O88" s="365">
        <f>'App 5 - Organics'!F88</f>
        <v>0</v>
      </c>
      <c r="P88" s="366"/>
      <c r="Q88" s="367"/>
      <c r="R88" s="368">
        <f>'App 5 - Organics'!J88</f>
        <v>774.78</v>
      </c>
      <c r="S88" s="369">
        <f t="shared" si="35"/>
        <v>7.1563954777211256</v>
      </c>
      <c r="T88" s="370">
        <f t="shared" si="36"/>
        <v>3.8053408205296568</v>
      </c>
      <c r="V88" s="371">
        <f>'App 1 - Services'!G88</f>
        <v>3426</v>
      </c>
      <c r="W88" s="372">
        <f>'App 1 - Services'!M88</f>
        <v>2928</v>
      </c>
      <c r="X88" s="373">
        <f>'App 1 - Services'!N88</f>
        <v>2380</v>
      </c>
      <c r="Y88" s="374">
        <v>0</v>
      </c>
      <c r="Z88" s="368">
        <v>2082</v>
      </c>
      <c r="AB88" s="375">
        <f>'App 1 - Services'!F88</f>
        <v>6443</v>
      </c>
      <c r="AC88" s="372">
        <f t="shared" si="31"/>
        <v>5506.4518388791594</v>
      </c>
      <c r="AD88" s="373">
        <f t="shared" si="32"/>
        <v>4475.8727378867479</v>
      </c>
      <c r="AE88" s="374">
        <f t="shared" si="33"/>
        <v>0</v>
      </c>
      <c r="AF88" s="368">
        <f t="shared" si="34"/>
        <v>3915.4483362521892</v>
      </c>
      <c r="AG88" s="376" t="s">
        <v>13</v>
      </c>
      <c r="AH88" s="377">
        <f t="shared" si="24"/>
        <v>2082</v>
      </c>
      <c r="AI88" s="377">
        <f t="shared" si="25"/>
        <v>3915.4483362521892</v>
      </c>
      <c r="AJ88" s="377">
        <f t="shared" si="26"/>
        <v>774.78</v>
      </c>
      <c r="AK88" s="369"/>
      <c r="AL88" s="370">
        <f>(AJ88*1000)/AF88/52</f>
        <v>3.8053408205296568</v>
      </c>
    </row>
    <row r="89" spans="1:38" x14ac:dyDescent="0.2">
      <c r="A89" s="8">
        <v>15900</v>
      </c>
      <c r="B89" s="8" t="s">
        <v>140</v>
      </c>
      <c r="C89" s="8" t="s">
        <v>23</v>
      </c>
      <c r="D89" s="29" t="s">
        <v>2</v>
      </c>
      <c r="E89" s="357"/>
      <c r="F89" s="358">
        <f>'App 6 - Residual Waste'!F89</f>
        <v>37246</v>
      </c>
      <c r="G89" s="359">
        <f t="shared" si="22"/>
        <v>10.214760639027265</v>
      </c>
      <c r="H89" s="360">
        <f t="shared" si="23"/>
        <v>4.3633708509579101</v>
      </c>
      <c r="I89" s="361"/>
      <c r="J89" s="362"/>
      <c r="K89" s="363">
        <f>'App 4 - Recyclables'!F90</f>
        <v>12306</v>
      </c>
      <c r="L89" s="364">
        <f t="shared" si="27"/>
        <v>4.567372643568266</v>
      </c>
      <c r="M89" s="364">
        <f t="shared" si="28"/>
        <v>1.9510139652480554</v>
      </c>
      <c r="N89" s="357"/>
      <c r="O89" s="365">
        <f>'App 5 - Organics'!F89</f>
        <v>14773</v>
      </c>
      <c r="P89" s="366">
        <f t="shared" si="29"/>
        <v>4.0767453591940228</v>
      </c>
      <c r="Q89" s="367">
        <f t="shared" si="30"/>
        <v>1.7414359959764156</v>
      </c>
      <c r="R89" s="368">
        <f>'App 5 - Organics'!J89</f>
        <v>0</v>
      </c>
      <c r="S89" s="369"/>
      <c r="T89" s="370"/>
      <c r="V89" s="371">
        <f>'App 1 - Services'!G89</f>
        <v>74452</v>
      </c>
      <c r="W89" s="372">
        <f>'App 1 - Services'!M89</f>
        <v>70121</v>
      </c>
      <c r="X89" s="373">
        <f>'App 1 - Services'!N89</f>
        <v>51814</v>
      </c>
      <c r="Y89" s="374">
        <v>69687</v>
      </c>
      <c r="Z89" s="368">
        <v>0</v>
      </c>
      <c r="AB89" s="375">
        <f>'App 1 - Services'!F89</f>
        <v>174294</v>
      </c>
      <c r="AC89" s="372">
        <f t="shared" si="31"/>
        <v>164155.02033524954</v>
      </c>
      <c r="AD89" s="373">
        <f t="shared" si="32"/>
        <v>121297.87401278676</v>
      </c>
      <c r="AE89" s="374">
        <f t="shared" si="33"/>
        <v>163139.01544619352</v>
      </c>
      <c r="AF89" s="368">
        <f t="shared" si="34"/>
        <v>0</v>
      </c>
      <c r="AG89" s="376"/>
      <c r="AH89" s="377">
        <f t="shared" si="24"/>
        <v>69687</v>
      </c>
      <c r="AI89" s="377">
        <f t="shared" si="25"/>
        <v>163139.01544619352</v>
      </c>
      <c r="AJ89" s="377">
        <f t="shared" si="26"/>
        <v>14773</v>
      </c>
      <c r="AK89" s="369">
        <f>(AJ89*1000)/AE89/52</f>
        <v>1.7414359959764156</v>
      </c>
      <c r="AL89" s="370"/>
    </row>
    <row r="90" spans="1:38" x14ac:dyDescent="0.2">
      <c r="A90" s="8">
        <v>15950</v>
      </c>
      <c r="B90" s="8" t="s">
        <v>55</v>
      </c>
      <c r="C90" s="8" t="s">
        <v>24</v>
      </c>
      <c r="D90" s="29" t="s">
        <v>2</v>
      </c>
      <c r="E90" s="357"/>
      <c r="F90" s="358">
        <f>'App 6 - Residual Waste'!F90</f>
        <v>12046</v>
      </c>
      <c r="G90" s="359">
        <f t="shared" si="22"/>
        <v>28.27460590184867</v>
      </c>
      <c r="H90" s="360">
        <f t="shared" si="23"/>
        <v>16.041541552084752</v>
      </c>
      <c r="I90" s="361"/>
      <c r="J90" s="362"/>
      <c r="K90" s="363">
        <f>'App 4 - Recyclables'!F91</f>
        <v>5354</v>
      </c>
      <c r="L90" s="364">
        <f t="shared" si="27"/>
        <v>16.017663108515627</v>
      </c>
      <c r="M90" s="364">
        <f t="shared" si="28"/>
        <v>9.0875893801847294</v>
      </c>
      <c r="N90" s="357"/>
      <c r="O90" s="365">
        <f>'App 5 - Organics'!F90</f>
        <v>2022</v>
      </c>
      <c r="P90" s="366" t="s">
        <v>419</v>
      </c>
      <c r="Q90" s="367" t="s">
        <v>419</v>
      </c>
      <c r="R90" s="368">
        <f>'App 5 - Organics'!J90</f>
        <v>0</v>
      </c>
      <c r="S90" s="369"/>
      <c r="T90" s="370"/>
      <c r="V90" s="371">
        <f>'App 1 - Services'!G90</f>
        <v>40857</v>
      </c>
      <c r="W90" s="372">
        <f>'App 1 - Services'!M90</f>
        <v>8193</v>
      </c>
      <c r="X90" s="373">
        <f>'App 1 - Services'!N90</f>
        <v>6428</v>
      </c>
      <c r="Y90" s="374">
        <v>0</v>
      </c>
      <c r="Z90" s="368">
        <v>0</v>
      </c>
      <c r="AA90" s="2">
        <v>1</v>
      </c>
      <c r="AB90" s="375">
        <f>'App 1 - Services'!F90</f>
        <v>72014</v>
      </c>
      <c r="AC90" s="372">
        <f t="shared" si="31"/>
        <v>14440.871870181363</v>
      </c>
      <c r="AD90" s="373">
        <f t="shared" si="32"/>
        <v>11329.90655212081</v>
      </c>
      <c r="AE90" s="374">
        <f t="shared" si="33"/>
        <v>0</v>
      </c>
      <c r="AF90" s="368">
        <f t="shared" si="34"/>
        <v>0</v>
      </c>
      <c r="AG90" s="376"/>
      <c r="AH90" s="377">
        <f t="shared" si="24"/>
        <v>0</v>
      </c>
      <c r="AI90" s="377">
        <f t="shared" si="25"/>
        <v>0</v>
      </c>
      <c r="AJ90" s="377">
        <f t="shared" si="26"/>
        <v>2022</v>
      </c>
      <c r="AK90" s="369" t="s">
        <v>419</v>
      </c>
      <c r="AL90" s="370"/>
    </row>
    <row r="91" spans="1:38" x14ac:dyDescent="0.2">
      <c r="A91" s="8">
        <v>15990</v>
      </c>
      <c r="B91" s="8" t="s">
        <v>141</v>
      </c>
      <c r="C91" s="8"/>
      <c r="D91" s="29" t="s">
        <v>2</v>
      </c>
      <c r="E91" s="357"/>
      <c r="F91" s="358">
        <f>'App 6 - Residual Waste'!F91</f>
        <v>45911.12</v>
      </c>
      <c r="G91" s="359">
        <f t="shared" si="22"/>
        <v>7.6418272559734959</v>
      </c>
      <c r="H91" s="360">
        <f t="shared" si="23"/>
        <v>3.3580902212024575</v>
      </c>
      <c r="I91" s="361"/>
      <c r="J91" s="362"/>
      <c r="K91" s="363">
        <f>'App 4 - Recyclables'!F92</f>
        <v>20296.060000000001</v>
      </c>
      <c r="L91" s="364">
        <f t="shared" si="27"/>
        <v>3.3782444100007458</v>
      </c>
      <c r="M91" s="364">
        <f t="shared" si="28"/>
        <v>1.4845205391403726</v>
      </c>
      <c r="N91" s="357"/>
      <c r="O91" s="365">
        <f>'App 5 - Organics'!F91</f>
        <v>29426.03</v>
      </c>
      <c r="P91" s="366">
        <f t="shared" si="29"/>
        <v>5.8306821253098029</v>
      </c>
      <c r="Q91" s="367">
        <f t="shared" si="30"/>
        <v>2.562208745642276</v>
      </c>
      <c r="R91" s="368">
        <f>'App 5 - Organics'!J91</f>
        <v>0</v>
      </c>
      <c r="S91" s="369"/>
      <c r="T91" s="370"/>
      <c r="V91" s="371">
        <f>'App 1 - Services'!G91</f>
        <v>117734</v>
      </c>
      <c r="W91" s="372">
        <f>'App 1 - Services'!M91</f>
        <v>115536</v>
      </c>
      <c r="X91" s="373">
        <f>'App 1 - Services'!N91</f>
        <v>115536</v>
      </c>
      <c r="Y91" s="374">
        <v>97053</v>
      </c>
      <c r="Z91" s="368">
        <v>0</v>
      </c>
      <c r="AB91" s="375">
        <f>'App 1 - Services'!F91</f>
        <v>267921</v>
      </c>
      <c r="AC91" s="372">
        <f t="shared" si="31"/>
        <v>262919.12834015663</v>
      </c>
      <c r="AD91" s="373">
        <f t="shared" si="32"/>
        <v>262919.12834015663</v>
      </c>
      <c r="AE91" s="374">
        <f t="shared" si="33"/>
        <v>220858.34859089134</v>
      </c>
      <c r="AF91" s="368">
        <f t="shared" si="34"/>
        <v>0</v>
      </c>
      <c r="AG91" s="376"/>
      <c r="AH91" s="377">
        <f t="shared" si="24"/>
        <v>97053</v>
      </c>
      <c r="AI91" s="377">
        <f t="shared" si="25"/>
        <v>220858.34859089134</v>
      </c>
      <c r="AJ91" s="377">
        <f t="shared" si="26"/>
        <v>29426.03</v>
      </c>
      <c r="AK91" s="369">
        <f>(AJ91*1000)/AE91/52</f>
        <v>2.562208745642276</v>
      </c>
      <c r="AL91" s="370"/>
    </row>
    <row r="92" spans="1:38" x14ac:dyDescent="0.2">
      <c r="A92" s="8">
        <v>16100</v>
      </c>
      <c r="B92" s="8" t="s">
        <v>142</v>
      </c>
      <c r="C92" s="8" t="s">
        <v>38</v>
      </c>
      <c r="D92" s="29" t="s">
        <v>1</v>
      </c>
      <c r="E92" s="357"/>
      <c r="F92" s="358">
        <f>'App 6 - Residual Waste'!F92</f>
        <v>583.13</v>
      </c>
      <c r="G92" s="359">
        <f t="shared" si="22"/>
        <v>9.0000308680083965</v>
      </c>
      <c r="H92" s="360">
        <f t="shared" si="23"/>
        <v>6.1087709516606985</v>
      </c>
      <c r="I92" s="361"/>
      <c r="J92" s="362"/>
      <c r="K92" s="363">
        <f>'App 4 - Recyclables'!F93</f>
        <v>0</v>
      </c>
      <c r="L92" s="364"/>
      <c r="M92" s="364"/>
      <c r="N92" s="357"/>
      <c r="O92" s="365">
        <f>'App 5 - Organics'!F92</f>
        <v>0</v>
      </c>
      <c r="P92" s="366"/>
      <c r="Q92" s="367"/>
      <c r="R92" s="368">
        <f>'App 5 - Organics'!J92</f>
        <v>0</v>
      </c>
      <c r="S92" s="369"/>
      <c r="T92" s="370"/>
      <c r="V92" s="371">
        <f>'App 1 - Services'!G92</f>
        <v>3801</v>
      </c>
      <c r="W92" s="372">
        <f>'App 1 - Services'!M92</f>
        <v>1246</v>
      </c>
      <c r="X92" s="373">
        <f>'App 1 - Services'!N92</f>
        <v>0</v>
      </c>
      <c r="Y92" s="374">
        <v>0</v>
      </c>
      <c r="Z92" s="368">
        <v>0</v>
      </c>
      <c r="AA92" s="2">
        <v>1</v>
      </c>
      <c r="AB92" s="375">
        <f>'App 1 - Services'!F92</f>
        <v>5600</v>
      </c>
      <c r="AC92" s="372">
        <f t="shared" si="31"/>
        <v>1835.7274401473296</v>
      </c>
      <c r="AD92" s="373">
        <f t="shared" si="32"/>
        <v>0</v>
      </c>
      <c r="AE92" s="374">
        <f t="shared" si="33"/>
        <v>0</v>
      </c>
      <c r="AF92" s="368">
        <f t="shared" si="34"/>
        <v>0</v>
      </c>
      <c r="AG92" s="376"/>
      <c r="AH92" s="377">
        <f t="shared" si="24"/>
        <v>0</v>
      </c>
      <c r="AI92" s="377">
        <f t="shared" si="25"/>
        <v>0</v>
      </c>
      <c r="AJ92" s="377">
        <f t="shared" si="26"/>
        <v>0</v>
      </c>
      <c r="AK92" s="369"/>
      <c r="AL92" s="370"/>
    </row>
    <row r="93" spans="1:38" x14ac:dyDescent="0.2">
      <c r="A93" s="8">
        <v>16150</v>
      </c>
      <c r="B93" s="8" t="s">
        <v>143</v>
      </c>
      <c r="C93" s="8" t="s">
        <v>38</v>
      </c>
      <c r="D93" s="29" t="s">
        <v>1</v>
      </c>
      <c r="E93" s="357"/>
      <c r="F93" s="358">
        <f>'App 6 - Residual Waste'!F93</f>
        <v>11198.57</v>
      </c>
      <c r="G93" s="359">
        <f t="shared" si="22"/>
        <v>12.647234871072081</v>
      </c>
      <c r="H93" s="360">
        <f t="shared" si="23"/>
        <v>5.5938373382155664</v>
      </c>
      <c r="I93" s="361"/>
      <c r="J93" s="362"/>
      <c r="K93" s="363">
        <f>'App 4 - Recyclables'!F94</f>
        <v>2815.3</v>
      </c>
      <c r="L93" s="364">
        <f t="shared" si="27"/>
        <v>3.1804255780640673</v>
      </c>
      <c r="M93" s="364">
        <f t="shared" si="28"/>
        <v>1.4066935208646536</v>
      </c>
      <c r="N93" s="357"/>
      <c r="O93" s="365">
        <f>'App 5 - Organics'!F93</f>
        <v>21.81</v>
      </c>
      <c r="P93" s="366"/>
      <c r="Q93" s="367"/>
      <c r="R93" s="368">
        <f>'App 5 - Organics'!J93</f>
        <v>5710.96</v>
      </c>
      <c r="S93" s="369">
        <f t="shared" si="35"/>
        <v>6.4577029367997785</v>
      </c>
      <c r="T93" s="370">
        <f t="shared" si="36"/>
        <v>2.8562243190090157</v>
      </c>
      <c r="V93" s="371">
        <f>'App 1 - Services'!G93</f>
        <v>19569</v>
      </c>
      <c r="W93" s="372">
        <f>'App 1 - Services'!M93</f>
        <v>17028</v>
      </c>
      <c r="X93" s="373">
        <f>'App 1 - Services'!N93</f>
        <v>17023</v>
      </c>
      <c r="Y93" s="374">
        <v>0</v>
      </c>
      <c r="Z93" s="368">
        <v>17007</v>
      </c>
      <c r="AB93" s="375">
        <f>'App 1 - Services'!F93</f>
        <v>44244</v>
      </c>
      <c r="AC93" s="372">
        <f t="shared" si="31"/>
        <v>38498.994940978075</v>
      </c>
      <c r="AD93" s="373">
        <f t="shared" si="32"/>
        <v>38487.690326536867</v>
      </c>
      <c r="AE93" s="374">
        <f t="shared" si="33"/>
        <v>0</v>
      </c>
      <c r="AF93" s="368">
        <f t="shared" si="34"/>
        <v>38451.515560325002</v>
      </c>
      <c r="AG93" s="376" t="s">
        <v>13</v>
      </c>
      <c r="AH93" s="377">
        <f t="shared" si="24"/>
        <v>17007</v>
      </c>
      <c r="AI93" s="377">
        <f t="shared" si="25"/>
        <v>38451.515560325002</v>
      </c>
      <c r="AJ93" s="377">
        <f t="shared" si="26"/>
        <v>5732.77</v>
      </c>
      <c r="AK93" s="369"/>
      <c r="AL93" s="370">
        <f>(AJ93*1000)/AF93/52</f>
        <v>2.8671321615429481</v>
      </c>
    </row>
    <row r="94" spans="1:38" x14ac:dyDescent="0.2">
      <c r="A94" s="8">
        <v>16200</v>
      </c>
      <c r="B94" s="8" t="s">
        <v>144</v>
      </c>
      <c r="C94" s="8" t="s">
        <v>38</v>
      </c>
      <c r="D94" s="29" t="s">
        <v>1</v>
      </c>
      <c r="E94" s="357"/>
      <c r="F94" s="358">
        <f>'App 6 - Residual Waste'!F94</f>
        <v>2334.17</v>
      </c>
      <c r="G94" s="359">
        <f t="shared" si="22"/>
        <v>5.729149280840411</v>
      </c>
      <c r="H94" s="360">
        <f t="shared" si="23"/>
        <v>3.6313547209367245</v>
      </c>
      <c r="I94" s="361"/>
      <c r="J94" s="362"/>
      <c r="K94" s="363">
        <f>'App 4 - Recyclables'!F95</f>
        <v>730</v>
      </c>
      <c r="L94" s="364">
        <f t="shared" si="27"/>
        <v>1.8093132540870651</v>
      </c>
      <c r="M94" s="364">
        <f t="shared" si="28"/>
        <v>1.1468121888279126</v>
      </c>
      <c r="N94" s="357"/>
      <c r="O94" s="365">
        <f>'App 5 - Organics'!F94</f>
        <v>0</v>
      </c>
      <c r="P94" s="366"/>
      <c r="Q94" s="367"/>
      <c r="R94" s="368">
        <f>'App 5 - Organics'!J94</f>
        <v>1603</v>
      </c>
      <c r="S94" s="369">
        <f t="shared" si="35"/>
        <v>3.9689613849521148</v>
      </c>
      <c r="T94" s="370">
        <f t="shared" si="36"/>
        <v>2.5156800697550024</v>
      </c>
      <c r="V94" s="371">
        <f>'App 1 - Services'!G94</f>
        <v>9036</v>
      </c>
      <c r="W94" s="372">
        <f>'App 1 - Services'!M94</f>
        <v>7835</v>
      </c>
      <c r="X94" s="373">
        <f>'App 1 - Services'!N94</f>
        <v>7759</v>
      </c>
      <c r="Y94" s="374">
        <v>0</v>
      </c>
      <c r="Z94" s="368">
        <v>7767</v>
      </c>
      <c r="AB94" s="375">
        <f>'App 1 - Services'!F94</f>
        <v>14256</v>
      </c>
      <c r="AC94" s="372">
        <f t="shared" si="31"/>
        <v>12361.195219123507</v>
      </c>
      <c r="AD94" s="373">
        <f t="shared" si="32"/>
        <v>12241.290836653387</v>
      </c>
      <c r="AE94" s="374">
        <f t="shared" si="33"/>
        <v>0</v>
      </c>
      <c r="AF94" s="368">
        <f t="shared" si="34"/>
        <v>12253.912350597609</v>
      </c>
      <c r="AG94" s="376" t="s">
        <v>13</v>
      </c>
      <c r="AH94" s="377">
        <f t="shared" si="24"/>
        <v>7767</v>
      </c>
      <c r="AI94" s="377">
        <f t="shared" si="25"/>
        <v>12253.912350597609</v>
      </c>
      <c r="AJ94" s="377">
        <f t="shared" si="26"/>
        <v>1603</v>
      </c>
      <c r="AK94" s="369"/>
      <c r="AL94" s="370">
        <f>(AJ94*1000)/AF94/52</f>
        <v>2.5156800697550024</v>
      </c>
    </row>
    <row r="95" spans="1:38" x14ac:dyDescent="0.2">
      <c r="A95" s="8">
        <v>16260</v>
      </c>
      <c r="B95" s="8" t="s">
        <v>56</v>
      </c>
      <c r="C95" s="8" t="s">
        <v>18</v>
      </c>
      <c r="D95" s="29" t="s">
        <v>2</v>
      </c>
      <c r="E95" s="357"/>
      <c r="F95" s="358">
        <f>'App 6 - Residual Waste'!F95</f>
        <v>49539.96</v>
      </c>
      <c r="G95" s="359">
        <f t="shared" si="22"/>
        <v>10.310514485514487</v>
      </c>
      <c r="H95" s="360">
        <f t="shared" si="23"/>
        <v>4.1257764386313127</v>
      </c>
      <c r="I95" s="361"/>
      <c r="J95" s="362"/>
      <c r="K95" s="363">
        <f>'App 4 - Recyclables'!F96</f>
        <v>11042.42</v>
      </c>
      <c r="L95" s="364">
        <f t="shared" si="27"/>
        <v>4.4505644206989725</v>
      </c>
      <c r="M95" s="364">
        <f t="shared" si="28"/>
        <v>1.780903741644313</v>
      </c>
      <c r="N95" s="357"/>
      <c r="O95" s="365">
        <f>'App 5 - Organics'!F95</f>
        <v>15449.26</v>
      </c>
      <c r="P95" s="366">
        <f t="shared" si="29"/>
        <v>6.0982605112205466</v>
      </c>
      <c r="Q95" s="367">
        <f t="shared" si="30"/>
        <v>2.4402331783906139</v>
      </c>
      <c r="R95" s="368">
        <f>'App 5 - Organics'!J95</f>
        <v>0</v>
      </c>
      <c r="S95" s="369"/>
      <c r="T95" s="370"/>
      <c r="V95" s="371">
        <f>'App 1 - Services'!G95</f>
        <v>107699</v>
      </c>
      <c r="W95" s="372">
        <f>'App 1 - Services'!M95</f>
        <v>92400</v>
      </c>
      <c r="X95" s="373">
        <f>'App 1 - Services'!N95</f>
        <v>47714</v>
      </c>
      <c r="Y95" s="374">
        <v>48719</v>
      </c>
      <c r="Z95" s="368">
        <v>0</v>
      </c>
      <c r="AB95" s="375">
        <f>'App 1 - Services'!F95</f>
        <v>269145</v>
      </c>
      <c r="AC95" s="372">
        <f t="shared" si="31"/>
        <v>230912.06046481396</v>
      </c>
      <c r="AD95" s="373">
        <f t="shared" si="32"/>
        <v>119239.58931837807</v>
      </c>
      <c r="AE95" s="374">
        <f t="shared" si="33"/>
        <v>121751.13283317394</v>
      </c>
      <c r="AF95" s="368">
        <f t="shared" si="34"/>
        <v>0</v>
      </c>
      <c r="AG95" s="376"/>
      <c r="AH95" s="377">
        <f t="shared" si="24"/>
        <v>48719</v>
      </c>
      <c r="AI95" s="377">
        <f t="shared" si="25"/>
        <v>121751.13283317394</v>
      </c>
      <c r="AJ95" s="377">
        <f t="shared" si="26"/>
        <v>15449.26</v>
      </c>
      <c r="AK95" s="369">
        <f>(AJ95*1000)/AE95/52</f>
        <v>2.4402331783906139</v>
      </c>
      <c r="AL95" s="370"/>
    </row>
    <row r="96" spans="1:38" x14ac:dyDescent="0.2">
      <c r="A96" s="8">
        <v>16350</v>
      </c>
      <c r="B96" s="8" t="s">
        <v>57</v>
      </c>
      <c r="C96" s="8" t="s">
        <v>182</v>
      </c>
      <c r="D96" s="29" t="s">
        <v>2</v>
      </c>
      <c r="E96" s="357"/>
      <c r="F96" s="358">
        <f>'App 6 - Residual Waste'!F96</f>
        <v>33813.97</v>
      </c>
      <c r="G96" s="359">
        <f t="shared" si="22"/>
        <v>8.0016323211900744</v>
      </c>
      <c r="H96" s="360">
        <f t="shared" si="23"/>
        <v>2.9429701624031099</v>
      </c>
      <c r="I96" s="361"/>
      <c r="J96" s="362"/>
      <c r="K96" s="363">
        <f>'App 4 - Recyclables'!F97</f>
        <v>15364.99</v>
      </c>
      <c r="L96" s="364">
        <f t="shared" si="27"/>
        <v>3.6359232766446024</v>
      </c>
      <c r="M96" s="364">
        <f t="shared" si="28"/>
        <v>1.3372788559173077</v>
      </c>
      <c r="N96" s="357"/>
      <c r="O96" s="365">
        <f>'App 5 - Organics'!F96</f>
        <v>0</v>
      </c>
      <c r="P96" s="366"/>
      <c r="Q96" s="367"/>
      <c r="R96" s="368">
        <f>'App 5 - Organics'!J96</f>
        <v>35762.44</v>
      </c>
      <c r="S96" s="369">
        <f t="shared" si="35"/>
        <v>9.8838669594037363</v>
      </c>
      <c r="T96" s="370">
        <f t="shared" si="36"/>
        <v>3.6352489570979096</v>
      </c>
      <c r="V96" s="371">
        <f>'App 1 - Services'!G96</f>
        <v>82564</v>
      </c>
      <c r="W96" s="372">
        <f>'App 1 - Services'!M96</f>
        <v>81267</v>
      </c>
      <c r="X96" s="373">
        <f>'App 1 - Services'!N96</f>
        <v>81267</v>
      </c>
      <c r="Y96" s="374">
        <v>0</v>
      </c>
      <c r="Z96" s="368">
        <v>69582</v>
      </c>
      <c r="AB96" s="375">
        <f>'App 1 - Services'!F96</f>
        <v>224483</v>
      </c>
      <c r="AC96" s="372">
        <f t="shared" si="31"/>
        <v>220956.59077806308</v>
      </c>
      <c r="AD96" s="373">
        <f t="shared" si="32"/>
        <v>220956.59077806308</v>
      </c>
      <c r="AE96" s="374">
        <f t="shared" si="33"/>
        <v>0</v>
      </c>
      <c r="AF96" s="368">
        <f t="shared" si="34"/>
        <v>189186.28101836151</v>
      </c>
      <c r="AG96" s="376" t="s">
        <v>13</v>
      </c>
      <c r="AH96" s="377">
        <f t="shared" si="24"/>
        <v>69582</v>
      </c>
      <c r="AI96" s="377">
        <f t="shared" si="25"/>
        <v>189186.28101836151</v>
      </c>
      <c r="AJ96" s="377">
        <f t="shared" si="26"/>
        <v>35762.44</v>
      </c>
      <c r="AK96" s="369"/>
      <c r="AL96" s="370">
        <f>(AJ96*1000)/AF96/52</f>
        <v>3.6352489570979096</v>
      </c>
    </row>
    <row r="97" spans="1:38" x14ac:dyDescent="0.2">
      <c r="A97" s="8">
        <v>16380</v>
      </c>
      <c r="B97" s="8" t="s">
        <v>145</v>
      </c>
      <c r="C97" s="8" t="s">
        <v>39</v>
      </c>
      <c r="D97" s="29" t="s">
        <v>3</v>
      </c>
      <c r="E97" s="357"/>
      <c r="F97" s="358">
        <f>'App 6 - Residual Waste'!F97</f>
        <v>12100.9</v>
      </c>
      <c r="G97" s="359">
        <f t="shared" si="22"/>
        <v>7.3252837882339268</v>
      </c>
      <c r="H97" s="360">
        <f t="shared" si="23"/>
        <v>3.3517939883749057</v>
      </c>
      <c r="I97" s="361"/>
      <c r="J97" s="362"/>
      <c r="K97" s="363">
        <f>'App 4 - Recyclables'!F98</f>
        <v>6827.62</v>
      </c>
      <c r="L97" s="364">
        <f t="shared" si="27"/>
        <v>4.2376834693837022</v>
      </c>
      <c r="M97" s="364">
        <f t="shared" si="28"/>
        <v>1.9390159327520673</v>
      </c>
      <c r="N97" s="357"/>
      <c r="O97" s="365">
        <f>'App 5 - Organics'!F97</f>
        <v>0</v>
      </c>
      <c r="P97" s="366"/>
      <c r="Q97" s="367"/>
      <c r="R97" s="368">
        <f>'App 5 - Organics'!J97</f>
        <v>13653.56</v>
      </c>
      <c r="S97" s="369">
        <f t="shared" si="35"/>
        <v>8.7522820512820516</v>
      </c>
      <c r="T97" s="370">
        <f t="shared" si="36"/>
        <v>4.0047385483097351</v>
      </c>
      <c r="V97" s="371">
        <f>'App 1 - Services'!G97</f>
        <v>40996</v>
      </c>
      <c r="W97" s="372">
        <f>'App 1 - Services'!M97</f>
        <v>31768</v>
      </c>
      <c r="X97" s="373">
        <f>'App 1 - Services'!N97</f>
        <v>30984</v>
      </c>
      <c r="Y97" s="374">
        <v>0</v>
      </c>
      <c r="Z97" s="368">
        <v>30000</v>
      </c>
      <c r="AB97" s="375">
        <f>'App 1 - Services'!F97</f>
        <v>89596</v>
      </c>
      <c r="AC97" s="372">
        <f t="shared" si="31"/>
        <v>69428.37662210947</v>
      </c>
      <c r="AD97" s="373">
        <f t="shared" si="32"/>
        <v>67714.959117962731</v>
      </c>
      <c r="AE97" s="374">
        <f t="shared" si="33"/>
        <v>0</v>
      </c>
      <c r="AF97" s="368">
        <f t="shared" si="34"/>
        <v>65564.445311737727</v>
      </c>
      <c r="AG97" s="376" t="s">
        <v>13</v>
      </c>
      <c r="AH97" s="377">
        <f t="shared" si="24"/>
        <v>30000</v>
      </c>
      <c r="AI97" s="377">
        <f t="shared" si="25"/>
        <v>65564.445311737727</v>
      </c>
      <c r="AJ97" s="377">
        <f t="shared" si="26"/>
        <v>13653.56</v>
      </c>
      <c r="AK97" s="369"/>
      <c r="AL97" s="370">
        <f>(AJ97*1000)/AF97/52</f>
        <v>4.0047385483097351</v>
      </c>
    </row>
    <row r="98" spans="1:38" x14ac:dyDescent="0.2">
      <c r="A98" s="8">
        <v>16400</v>
      </c>
      <c r="B98" s="8" t="s">
        <v>58</v>
      </c>
      <c r="C98" s="8" t="s">
        <v>23</v>
      </c>
      <c r="D98" s="29" t="s">
        <v>2</v>
      </c>
      <c r="E98" s="357"/>
      <c r="F98" s="358">
        <f>'App 6 - Residual Waste'!F98</f>
        <v>25663</v>
      </c>
      <c r="G98" s="359">
        <f t="shared" si="22"/>
        <v>14.509297076769295</v>
      </c>
      <c r="H98" s="360">
        <f t="shared" si="23"/>
        <v>6.5960681326646426</v>
      </c>
      <c r="I98" s="361"/>
      <c r="J98" s="362"/>
      <c r="K98" s="363">
        <f>'App 4 - Recyclables'!F99</f>
        <v>5929</v>
      </c>
      <c r="L98" s="364">
        <f t="shared" si="27"/>
        <v>3.3521264999479854</v>
      </c>
      <c r="M98" s="364">
        <f t="shared" si="28"/>
        <v>1.5239094399941031</v>
      </c>
      <c r="N98" s="357"/>
      <c r="O98" s="365">
        <f>'App 5 - Organics'!F98</f>
        <v>0</v>
      </c>
      <c r="P98" s="366"/>
      <c r="Q98" s="367"/>
      <c r="R98" s="368">
        <f>'App 5 - Organics'!J98</f>
        <v>0</v>
      </c>
      <c r="S98" s="369"/>
      <c r="T98" s="370"/>
      <c r="V98" s="371">
        <f>'App 1 - Services'!G98</f>
        <v>35345</v>
      </c>
      <c r="W98" s="372">
        <f>'App 1 - Services'!M98</f>
        <v>34014</v>
      </c>
      <c r="X98" s="373">
        <f>'App 1 - Services'!N98</f>
        <v>34014</v>
      </c>
      <c r="Y98" s="374">
        <v>0</v>
      </c>
      <c r="Z98" s="368">
        <v>0</v>
      </c>
      <c r="AA98" s="2">
        <v>1</v>
      </c>
      <c r="AB98" s="375">
        <f>'App 1 - Services'!F98</f>
        <v>77748</v>
      </c>
      <c r="AC98" s="372">
        <f t="shared" si="31"/>
        <v>74820.214231150094</v>
      </c>
      <c r="AD98" s="373">
        <f t="shared" si="32"/>
        <v>74820.214231150094</v>
      </c>
      <c r="AE98" s="374">
        <f t="shared" si="33"/>
        <v>0</v>
      </c>
      <c r="AF98" s="368">
        <f t="shared" si="34"/>
        <v>0</v>
      </c>
      <c r="AG98" s="376"/>
      <c r="AH98" s="377">
        <f t="shared" si="24"/>
        <v>0</v>
      </c>
      <c r="AI98" s="377">
        <f t="shared" si="25"/>
        <v>0</v>
      </c>
      <c r="AJ98" s="377">
        <f t="shared" si="26"/>
        <v>0</v>
      </c>
      <c r="AK98" s="369"/>
      <c r="AL98" s="370"/>
    </row>
    <row r="99" spans="1:38" x14ac:dyDescent="0.2">
      <c r="A99" s="8">
        <v>16490</v>
      </c>
      <c r="B99" s="8" t="s">
        <v>146</v>
      </c>
      <c r="C99" s="8" t="s">
        <v>67</v>
      </c>
      <c r="D99" s="29" t="s">
        <v>1</v>
      </c>
      <c r="E99" s="357"/>
      <c r="F99" s="358">
        <f>'App 6 - Residual Waste'!F99</f>
        <v>10927</v>
      </c>
      <c r="G99" s="359">
        <f t="shared" si="22"/>
        <v>9.5803143696824726</v>
      </c>
      <c r="H99" s="360">
        <f t="shared" si="23"/>
        <v>4.109471078430091</v>
      </c>
      <c r="I99" s="361"/>
      <c r="J99" s="362"/>
      <c r="K99" s="363">
        <f>'App 4 - Recyclables'!F100</f>
        <v>3259.5</v>
      </c>
      <c r="L99" s="364">
        <f t="shared" si="27"/>
        <v>3.3010001741899155</v>
      </c>
      <c r="M99" s="364">
        <f t="shared" si="28"/>
        <v>1.415962381010651</v>
      </c>
      <c r="N99" s="357"/>
      <c r="O99" s="365">
        <f>'App 5 - Organics'!F99</f>
        <v>1224</v>
      </c>
      <c r="P99" s="366" t="s">
        <v>419</v>
      </c>
      <c r="Q99" s="367" t="s">
        <v>419</v>
      </c>
      <c r="R99" s="368">
        <f>'App 5 - Organics'!J99</f>
        <v>2332</v>
      </c>
      <c r="S99" s="369">
        <f>(R99*1000)/Z99/52</f>
        <v>2.603701454142699</v>
      </c>
      <c r="T99" s="370">
        <f t="shared" ref="T99" si="39">(R99*1000)/AF99/52</f>
        <v>1.1168564422610301</v>
      </c>
      <c r="U99">
        <v>1</v>
      </c>
      <c r="V99" s="371">
        <f>'App 1 - Services'!G99</f>
        <v>28040</v>
      </c>
      <c r="W99" s="372">
        <f>'App 1 - Services'!M99</f>
        <v>21934</v>
      </c>
      <c r="X99" s="373">
        <f>'App 1 - Services'!N99</f>
        <v>18989</v>
      </c>
      <c r="Y99" s="374">
        <v>0</v>
      </c>
      <c r="Z99" s="368">
        <v>17224</v>
      </c>
      <c r="AB99" s="375">
        <f>'App 1 - Services'!F99</f>
        <v>65369</v>
      </c>
      <c r="AC99" s="372">
        <f t="shared" si="31"/>
        <v>51134.224179743222</v>
      </c>
      <c r="AD99" s="373">
        <f t="shared" si="32"/>
        <v>44268.614158345219</v>
      </c>
      <c r="AE99" s="374">
        <f t="shared" si="33"/>
        <v>0</v>
      </c>
      <c r="AF99" s="368">
        <f t="shared" si="34"/>
        <v>40153.910699001426</v>
      </c>
      <c r="AG99" s="376" t="s">
        <v>13</v>
      </c>
      <c r="AH99" s="377">
        <f t="shared" si="24"/>
        <v>17224</v>
      </c>
      <c r="AI99" s="377">
        <f t="shared" si="25"/>
        <v>40153.910699001426</v>
      </c>
      <c r="AJ99" s="377">
        <f t="shared" si="26"/>
        <v>3556</v>
      </c>
      <c r="AK99" s="369" t="s">
        <v>419</v>
      </c>
      <c r="AL99" s="370">
        <f>(AJ99*1000)/AF99/52</f>
        <v>1.703062396518106</v>
      </c>
    </row>
    <row r="100" spans="1:38" x14ac:dyDescent="0.2">
      <c r="A100" s="8">
        <v>16550</v>
      </c>
      <c r="B100" s="8" t="s">
        <v>59</v>
      </c>
      <c r="C100" s="8" t="s">
        <v>17</v>
      </c>
      <c r="D100" s="29" t="s">
        <v>2</v>
      </c>
      <c r="E100" s="357"/>
      <c r="F100" s="358">
        <f>'App 6 - Residual Waste'!F100</f>
        <v>20574.259999999998</v>
      </c>
      <c r="G100" s="359">
        <f t="shared" si="22"/>
        <v>6.7608565352148968</v>
      </c>
      <c r="H100" s="360">
        <f t="shared" si="23"/>
        <v>2.8604943767013276</v>
      </c>
      <c r="I100" s="361"/>
      <c r="J100" s="362"/>
      <c r="K100" s="363">
        <f>'App 4 - Recyclables'!F101</f>
        <v>9301.35</v>
      </c>
      <c r="L100" s="364">
        <f t="shared" si="27"/>
        <v>2.9871762756281797</v>
      </c>
      <c r="M100" s="364">
        <f t="shared" si="28"/>
        <v>1.2638636678863391</v>
      </c>
      <c r="N100" s="357"/>
      <c r="O100" s="365">
        <f>'App 5 - Organics'!F100</f>
        <v>0</v>
      </c>
      <c r="P100" s="366"/>
      <c r="Q100" s="367"/>
      <c r="R100" s="368">
        <f>'App 5 - Organics'!J100</f>
        <v>13726.79</v>
      </c>
      <c r="S100" s="369">
        <f t="shared" si="35"/>
        <v>4.4083554177323485</v>
      </c>
      <c r="T100" s="370">
        <f t="shared" si="36"/>
        <v>1.8651595130354888</v>
      </c>
      <c r="V100" s="371">
        <f>'App 1 - Services'!G100</f>
        <v>60012</v>
      </c>
      <c r="W100" s="372">
        <f>'App 1 - Services'!M100</f>
        <v>58522</v>
      </c>
      <c r="X100" s="373">
        <f>'App 1 - Services'!N100</f>
        <v>59880</v>
      </c>
      <c r="Y100" s="374">
        <v>0</v>
      </c>
      <c r="Z100" s="368">
        <v>59881</v>
      </c>
      <c r="AB100" s="375">
        <f>'App 1 - Services'!F100</f>
        <v>141840</v>
      </c>
      <c r="AC100" s="372">
        <f t="shared" si="31"/>
        <v>138318.34433113379</v>
      </c>
      <c r="AD100" s="373">
        <f t="shared" si="32"/>
        <v>141528.01439712057</v>
      </c>
      <c r="AE100" s="374">
        <f t="shared" si="33"/>
        <v>0</v>
      </c>
      <c r="AF100" s="368">
        <f t="shared" si="34"/>
        <v>141530.37792441511</v>
      </c>
      <c r="AG100" s="376"/>
      <c r="AH100" s="377">
        <f t="shared" si="24"/>
        <v>59881</v>
      </c>
      <c r="AI100" s="377">
        <f t="shared" si="25"/>
        <v>141530.37792441511</v>
      </c>
      <c r="AJ100" s="377">
        <f t="shared" si="26"/>
        <v>13726.79</v>
      </c>
      <c r="AK100" s="369" t="s">
        <v>419</v>
      </c>
      <c r="AL100" s="370"/>
    </row>
    <row r="101" spans="1:38" x14ac:dyDescent="0.2">
      <c r="A101" s="8">
        <v>16610</v>
      </c>
      <c r="B101" s="8" t="s">
        <v>147</v>
      </c>
      <c r="C101" s="8" t="s">
        <v>19</v>
      </c>
      <c r="D101" s="29" t="s">
        <v>3</v>
      </c>
      <c r="E101" s="357"/>
      <c r="F101" s="358">
        <f>'App 6 - Residual Waste'!F101</f>
        <v>3494.29</v>
      </c>
      <c r="G101" s="359">
        <f t="shared" si="22"/>
        <v>8.7269980019980018</v>
      </c>
      <c r="H101" s="360">
        <f t="shared" si="23"/>
        <v>3.9863292286705065</v>
      </c>
      <c r="I101" s="361"/>
      <c r="J101" s="362"/>
      <c r="K101" s="363">
        <f>'App 4 - Recyclables'!F102</f>
        <v>1354.31</v>
      </c>
      <c r="L101" s="364">
        <f t="shared" si="27"/>
        <v>3.3034529524255549</v>
      </c>
      <c r="M101" s="364">
        <f t="shared" si="28"/>
        <v>1.5089554342486358</v>
      </c>
      <c r="N101" s="357"/>
      <c r="O101" s="365">
        <f>'App 5 - Organics'!F101</f>
        <v>0</v>
      </c>
      <c r="P101" s="366"/>
      <c r="Q101" s="367"/>
      <c r="R101" s="368">
        <f>'App 5 - Organics'!J101</f>
        <v>3093</v>
      </c>
      <c r="S101" s="369">
        <f t="shared" si="35"/>
        <v>7.6957910765647863</v>
      </c>
      <c r="T101" s="370">
        <f t="shared" si="36"/>
        <v>3.5152932198710616</v>
      </c>
      <c r="V101" s="371">
        <f>'App 1 - Services'!G101</f>
        <v>10828</v>
      </c>
      <c r="W101" s="372">
        <f>'App 1 - Services'!M101</f>
        <v>7700</v>
      </c>
      <c r="X101" s="373">
        <f>'App 1 - Services'!N101</f>
        <v>7884</v>
      </c>
      <c r="Y101" s="374">
        <v>0</v>
      </c>
      <c r="Z101" s="368">
        <v>7729</v>
      </c>
      <c r="AB101" s="375">
        <f>'App 1 - Services'!F101</f>
        <v>23705</v>
      </c>
      <c r="AC101" s="372">
        <f t="shared" si="31"/>
        <v>16857.083487255266</v>
      </c>
      <c r="AD101" s="373">
        <f t="shared" si="32"/>
        <v>17259.902105652014</v>
      </c>
      <c r="AE101" s="374">
        <f t="shared" si="33"/>
        <v>0</v>
      </c>
      <c r="AF101" s="368">
        <f t="shared" si="34"/>
        <v>16920.571204285185</v>
      </c>
      <c r="AG101" s="376" t="s">
        <v>13</v>
      </c>
      <c r="AH101" s="377">
        <f t="shared" si="24"/>
        <v>7729</v>
      </c>
      <c r="AI101" s="377">
        <f t="shared" si="25"/>
        <v>16920.571204285185</v>
      </c>
      <c r="AJ101" s="377">
        <f t="shared" si="26"/>
        <v>3093</v>
      </c>
      <c r="AK101" s="369"/>
      <c r="AL101" s="370">
        <f>(AJ101*1000)/AF101/52</f>
        <v>3.5152932198710616</v>
      </c>
    </row>
    <row r="102" spans="1:38" x14ac:dyDescent="0.2">
      <c r="A102" s="8">
        <v>16700</v>
      </c>
      <c r="B102" s="8" t="s">
        <v>60</v>
      </c>
      <c r="C102" s="8" t="s">
        <v>24</v>
      </c>
      <c r="D102" s="29" t="s">
        <v>2</v>
      </c>
      <c r="E102" s="357"/>
      <c r="F102" s="358">
        <f>'App 6 - Residual Waste'!F102</f>
        <v>25517.84</v>
      </c>
      <c r="G102" s="359">
        <f t="shared" si="22"/>
        <v>9.2511583053575706</v>
      </c>
      <c r="H102" s="360">
        <f t="shared" si="23"/>
        <v>3.7751455190789067</v>
      </c>
      <c r="I102" s="361"/>
      <c r="J102" s="362"/>
      <c r="K102" s="363">
        <f>'App 4 - Recyclables'!F103</f>
        <v>7000.85</v>
      </c>
      <c r="L102" s="364">
        <f t="shared" si="27"/>
        <v>2.4307460373233929</v>
      </c>
      <c r="M102" s="364">
        <f t="shared" si="28"/>
        <v>0.99192119601995465</v>
      </c>
      <c r="N102" s="357"/>
      <c r="O102" s="365">
        <f>'App 5 - Organics'!F102</f>
        <v>9725.7999999999993</v>
      </c>
      <c r="P102" s="366">
        <f t="shared" si="29"/>
        <v>6.4304000338518668</v>
      </c>
      <c r="Q102" s="367">
        <f t="shared" si="30"/>
        <v>2.6240709619704679</v>
      </c>
      <c r="R102" s="368">
        <f>'App 5 - Organics'!J102</f>
        <v>0</v>
      </c>
      <c r="S102" s="369"/>
      <c r="T102" s="370"/>
      <c r="V102" s="371">
        <f>'App 1 - Services'!G102</f>
        <v>55382</v>
      </c>
      <c r="W102" s="372">
        <f>'App 1 - Services'!M102</f>
        <v>53045</v>
      </c>
      <c r="X102" s="373">
        <f>'App 1 - Services'!N102</f>
        <v>55387</v>
      </c>
      <c r="Y102" s="374">
        <v>29086</v>
      </c>
      <c r="Z102" s="368">
        <v>0</v>
      </c>
      <c r="AB102" s="375">
        <f>'App 1 - Services'!F102</f>
        <v>135716</v>
      </c>
      <c r="AC102" s="372">
        <f t="shared" si="31"/>
        <v>129989.07984543715</v>
      </c>
      <c r="AD102" s="373">
        <f t="shared" si="32"/>
        <v>135728.25271748943</v>
      </c>
      <c r="AE102" s="374">
        <f t="shared" si="33"/>
        <v>71276.508179552926</v>
      </c>
      <c r="AF102" s="368">
        <f t="shared" si="34"/>
        <v>0</v>
      </c>
      <c r="AG102" s="376"/>
      <c r="AH102" s="377">
        <f t="shared" si="24"/>
        <v>29086</v>
      </c>
      <c r="AI102" s="377">
        <f t="shared" si="25"/>
        <v>71276.508179552926</v>
      </c>
      <c r="AJ102" s="377">
        <f t="shared" si="26"/>
        <v>9725.7999999999993</v>
      </c>
      <c r="AK102" s="369">
        <f>(AJ102*1000)/AE102/52</f>
        <v>2.6240709619704679</v>
      </c>
      <c r="AL102" s="370"/>
    </row>
    <row r="103" spans="1:38" x14ac:dyDescent="0.2">
      <c r="A103" s="8">
        <v>16900</v>
      </c>
      <c r="B103" s="8" t="s">
        <v>148</v>
      </c>
      <c r="C103" s="8" t="s">
        <v>37</v>
      </c>
      <c r="D103" s="29" t="s">
        <v>2</v>
      </c>
      <c r="E103" s="357"/>
      <c r="F103" s="358">
        <f>'App 6 - Residual Waste'!F103</f>
        <v>13706</v>
      </c>
      <c r="G103" s="359">
        <f t="shared" si="22"/>
        <v>8.4721456422783934</v>
      </c>
      <c r="H103" s="360">
        <f t="shared" si="23"/>
        <v>3.1730436863352716</v>
      </c>
      <c r="I103" s="361"/>
      <c r="J103" s="362"/>
      <c r="K103" s="363">
        <f>'App 4 - Recyclables'!F104</f>
        <v>5530</v>
      </c>
      <c r="L103" s="364">
        <f t="shared" si="27"/>
        <v>3.5163890436184855</v>
      </c>
      <c r="M103" s="364">
        <f t="shared" si="28"/>
        <v>1.3169811432268483</v>
      </c>
      <c r="N103" s="357"/>
      <c r="O103" s="365">
        <f>'App 5 - Organics'!F103</f>
        <v>0</v>
      </c>
      <c r="P103" s="366"/>
      <c r="Q103" s="367"/>
      <c r="R103" s="368">
        <f>'App 5 - Organics'!J103</f>
        <v>12775</v>
      </c>
      <c r="S103" s="369">
        <f t="shared" si="35"/>
        <v>8.5585464874787291</v>
      </c>
      <c r="T103" s="370">
        <f t="shared" si="36"/>
        <v>3.2054030989247884</v>
      </c>
      <c r="V103" s="371">
        <f>'App 1 - Services'!G103</f>
        <v>29864</v>
      </c>
      <c r="W103" s="372">
        <f>'App 1 - Services'!M103</f>
        <v>31111</v>
      </c>
      <c r="X103" s="373">
        <f>'App 1 - Services'!N103</f>
        <v>30243</v>
      </c>
      <c r="Y103" s="374">
        <v>0</v>
      </c>
      <c r="Z103" s="368">
        <v>28705</v>
      </c>
      <c r="AB103" s="375">
        <f>'App 1 - Services'!F103</f>
        <v>79738</v>
      </c>
      <c r="AC103" s="372">
        <f t="shared" si="31"/>
        <v>83067.536766675606</v>
      </c>
      <c r="AD103" s="373">
        <f t="shared" si="32"/>
        <v>80749.944213769093</v>
      </c>
      <c r="AE103" s="374">
        <f t="shared" si="33"/>
        <v>0</v>
      </c>
      <c r="AF103" s="368">
        <f t="shared" si="34"/>
        <v>76643.426533619073</v>
      </c>
      <c r="AG103" s="376" t="s">
        <v>13</v>
      </c>
      <c r="AH103" s="377">
        <f t="shared" si="24"/>
        <v>28705</v>
      </c>
      <c r="AI103" s="377">
        <f t="shared" si="25"/>
        <v>76643.426533619073</v>
      </c>
      <c r="AJ103" s="377">
        <f t="shared" si="26"/>
        <v>12775</v>
      </c>
      <c r="AK103" s="382"/>
      <c r="AL103" s="370">
        <f>(AJ103*1000)/AF103/52</f>
        <v>3.2054030989247884</v>
      </c>
    </row>
    <row r="104" spans="1:38" x14ac:dyDescent="0.2">
      <c r="A104" s="8">
        <v>16950</v>
      </c>
      <c r="B104" s="8" t="s">
        <v>149</v>
      </c>
      <c r="C104" s="8" t="s">
        <v>37</v>
      </c>
      <c r="D104" s="29" t="s">
        <v>2</v>
      </c>
      <c r="E104" s="357"/>
      <c r="F104" s="358">
        <f>'App 6 - Residual Waste'!F104</f>
        <v>31175</v>
      </c>
      <c r="G104" s="359">
        <f t="shared" si="22"/>
        <v>11.009443224115889</v>
      </c>
      <c r="H104" s="360">
        <f t="shared" si="23"/>
        <v>5.9996681905987765</v>
      </c>
      <c r="I104" s="361"/>
      <c r="J104" s="362"/>
      <c r="K104" s="363">
        <f>'App 4 - Recyclables'!F105</f>
        <v>9578</v>
      </c>
      <c r="L104" s="364">
        <f t="shared" si="27"/>
        <v>3.2358720300113788</v>
      </c>
      <c r="M104" s="364">
        <f t="shared" si="28"/>
        <v>1.7634096558835384</v>
      </c>
      <c r="N104" s="357"/>
      <c r="O104" s="365">
        <f>'App 5 - Organics'!F104</f>
        <v>0</v>
      </c>
      <c r="P104" s="366"/>
      <c r="Q104" s="367"/>
      <c r="R104" s="368">
        <f>'App 5 - Organics'!J104</f>
        <v>0</v>
      </c>
      <c r="S104" s="369"/>
      <c r="T104" s="370"/>
      <c r="V104" s="371">
        <f>'App 1 - Services'!G104</f>
        <v>59888</v>
      </c>
      <c r="W104" s="372">
        <f>'App 1 - Services'!M104</f>
        <v>54455</v>
      </c>
      <c r="X104" s="373">
        <f>'App 1 - Services'!N104</f>
        <v>56922</v>
      </c>
      <c r="Y104" s="374">
        <v>0</v>
      </c>
      <c r="Z104" s="368">
        <v>0</v>
      </c>
      <c r="AA104" s="2">
        <v>1</v>
      </c>
      <c r="AB104" s="375">
        <f>'App 1 - Services'!F104</f>
        <v>109895</v>
      </c>
      <c r="AC104" s="372">
        <f t="shared" si="31"/>
        <v>99925.397825941749</v>
      </c>
      <c r="AD104" s="373">
        <f t="shared" si="32"/>
        <v>104452.36424659364</v>
      </c>
      <c r="AE104" s="374">
        <f t="shared" si="33"/>
        <v>0</v>
      </c>
      <c r="AF104" s="368">
        <f t="shared" si="34"/>
        <v>0</v>
      </c>
      <c r="AG104" s="376"/>
      <c r="AH104" s="377">
        <f t="shared" si="24"/>
        <v>0</v>
      </c>
      <c r="AI104" s="377">
        <f t="shared" si="25"/>
        <v>0</v>
      </c>
      <c r="AJ104" s="377">
        <f t="shared" si="26"/>
        <v>0</v>
      </c>
      <c r="AK104" s="369"/>
      <c r="AL104" s="370"/>
    </row>
    <row r="105" spans="1:38" x14ac:dyDescent="0.2">
      <c r="A105" s="8">
        <v>17000</v>
      </c>
      <c r="B105" s="8" t="s">
        <v>150</v>
      </c>
      <c r="C105" s="8" t="s">
        <v>23</v>
      </c>
      <c r="D105" s="29" t="s">
        <v>3</v>
      </c>
      <c r="E105" s="378"/>
      <c r="F105" s="358">
        <f>'App 6 - Residual Waste'!F105</f>
        <v>6097.06</v>
      </c>
      <c r="G105" s="359">
        <f t="shared" si="22"/>
        <v>12.457623655562458</v>
      </c>
      <c r="H105" s="360">
        <f t="shared" si="23"/>
        <v>5.6588455473139581</v>
      </c>
      <c r="I105" s="361"/>
      <c r="J105" s="362"/>
      <c r="K105" s="363">
        <f>'App 4 - Recyclables'!F106</f>
        <v>1429.1</v>
      </c>
      <c r="L105" s="364">
        <f t="shared" si="27"/>
        <v>3.2256681112314918</v>
      </c>
      <c r="M105" s="364">
        <f t="shared" si="28"/>
        <v>1.4652519720488224</v>
      </c>
      <c r="N105" s="357"/>
      <c r="O105" s="365">
        <f>'App 5 - Organics'!F105</f>
        <v>2039.75</v>
      </c>
      <c r="P105" s="366">
        <f t="shared" si="29"/>
        <v>4.752357831168105</v>
      </c>
      <c r="Q105" s="367">
        <f t="shared" si="30"/>
        <v>2.1587471010283981</v>
      </c>
      <c r="R105" s="368">
        <f>'App 5 - Organics'!J105</f>
        <v>0</v>
      </c>
      <c r="S105" s="369"/>
      <c r="T105" s="370"/>
      <c r="V105" s="371">
        <f>'App 1 - Services'!G105</f>
        <v>11507</v>
      </c>
      <c r="W105" s="372">
        <f>'App 1 - Services'!M105</f>
        <v>9412</v>
      </c>
      <c r="X105" s="373">
        <f>'App 1 - Services'!N105</f>
        <v>8520</v>
      </c>
      <c r="Y105" s="374">
        <v>8254</v>
      </c>
      <c r="Z105" s="368">
        <v>0</v>
      </c>
      <c r="AB105" s="375">
        <f>'App 1 - Services'!F105</f>
        <v>25332</v>
      </c>
      <c r="AC105" s="372">
        <f t="shared" si="31"/>
        <v>20719.977752672286</v>
      </c>
      <c r="AD105" s="373">
        <f t="shared" si="32"/>
        <v>18756.290953332755</v>
      </c>
      <c r="AE105" s="374">
        <f t="shared" si="33"/>
        <v>18170.707221691144</v>
      </c>
      <c r="AF105" s="368">
        <f t="shared" si="34"/>
        <v>0</v>
      </c>
      <c r="AG105" s="376"/>
      <c r="AH105" s="377">
        <f t="shared" si="24"/>
        <v>8254</v>
      </c>
      <c r="AI105" s="377">
        <f t="shared" si="25"/>
        <v>18170.707221691144</v>
      </c>
      <c r="AJ105" s="377">
        <f t="shared" si="26"/>
        <v>2039.75</v>
      </c>
      <c r="AK105" s="369">
        <f>(AJ105*1000)/AE105/52</f>
        <v>2.1587471010283981</v>
      </c>
      <c r="AL105" s="370"/>
    </row>
    <row r="106" spans="1:38" x14ac:dyDescent="0.2">
      <c r="A106" s="8">
        <v>17040</v>
      </c>
      <c r="B106" s="8" t="s">
        <v>151</v>
      </c>
      <c r="C106" s="8" t="s">
        <v>67</v>
      </c>
      <c r="D106" s="29" t="s">
        <v>1</v>
      </c>
      <c r="E106" s="378"/>
      <c r="F106" s="358">
        <f>'App 6 - Residual Waste'!F106</f>
        <v>3922.27</v>
      </c>
      <c r="G106" s="359">
        <f t="shared" si="22"/>
        <v>9.3328717187291801</v>
      </c>
      <c r="H106" s="360">
        <f t="shared" si="23"/>
        <v>6.0137395436832106</v>
      </c>
      <c r="I106" s="361"/>
      <c r="J106" s="362"/>
      <c r="K106" s="363">
        <f>'App 4 - Recyclables'!F107</f>
        <v>1306.78</v>
      </c>
      <c r="L106" s="364">
        <f t="shared" si="27"/>
        <v>3.2405396022417299</v>
      </c>
      <c r="M106" s="364">
        <f t="shared" si="28"/>
        <v>2.0880776824312899</v>
      </c>
      <c r="N106" s="357"/>
      <c r="O106" s="365">
        <f>'App 5 - Organics'!F106</f>
        <v>0</v>
      </c>
      <c r="P106" s="366"/>
      <c r="Q106" s="367"/>
      <c r="R106" s="368">
        <f>'App 5 - Organics'!J106</f>
        <v>615.97</v>
      </c>
      <c r="S106" s="369">
        <f t="shared" si="35"/>
        <v>4.1548849256671074</v>
      </c>
      <c r="T106" s="370">
        <f t="shared" si="36"/>
        <v>2.6772462463825515</v>
      </c>
      <c r="V106" s="371">
        <f>'App 1 - Services'!G106</f>
        <v>14261</v>
      </c>
      <c r="W106" s="372">
        <f>'App 1 - Services'!M106</f>
        <v>8082</v>
      </c>
      <c r="X106" s="373">
        <f>'App 1 - Services'!N106</f>
        <v>7755</v>
      </c>
      <c r="Y106" s="374">
        <v>0</v>
      </c>
      <c r="Z106" s="368">
        <v>2851</v>
      </c>
      <c r="AB106" s="375">
        <f>'App 1 - Services'!F106</f>
        <v>22132</v>
      </c>
      <c r="AC106" s="372">
        <f t="shared" si="31"/>
        <v>12542.656475702966</v>
      </c>
      <c r="AD106" s="373">
        <f t="shared" si="32"/>
        <v>12035.177056307411</v>
      </c>
      <c r="AE106" s="374">
        <f t="shared" si="33"/>
        <v>0</v>
      </c>
      <c r="AF106" s="368">
        <f t="shared" si="34"/>
        <v>4424.5376902040525</v>
      </c>
      <c r="AG106" s="376" t="s">
        <v>13</v>
      </c>
      <c r="AH106" s="377">
        <f t="shared" si="24"/>
        <v>2851</v>
      </c>
      <c r="AI106" s="377">
        <f t="shared" si="25"/>
        <v>4424.5376902040525</v>
      </c>
      <c r="AJ106" s="377">
        <f t="shared" si="26"/>
        <v>615.97</v>
      </c>
      <c r="AK106" s="369"/>
      <c r="AL106" s="370">
        <f>(AJ106*1000)/AF106/52</f>
        <v>2.6772462463825515</v>
      </c>
    </row>
    <row r="107" spans="1:38" x14ac:dyDescent="0.2">
      <c r="A107" s="8">
        <v>17080</v>
      </c>
      <c r="B107" s="8" t="s">
        <v>152</v>
      </c>
      <c r="C107" s="8" t="s">
        <v>67</v>
      </c>
      <c r="D107" s="29" t="s">
        <v>1</v>
      </c>
      <c r="E107" s="357"/>
      <c r="F107" s="358">
        <f>'App 6 - Residual Waste'!F107</f>
        <v>4986.88</v>
      </c>
      <c r="G107" s="359">
        <f t="shared" si="22"/>
        <v>17.64193128431539</v>
      </c>
      <c r="H107" s="360">
        <f t="shared" si="23"/>
        <v>10.996232897602408</v>
      </c>
      <c r="I107" s="361"/>
      <c r="J107" s="362"/>
      <c r="K107" s="363">
        <f>'App 4 - Recyclables'!F108</f>
        <v>1450</v>
      </c>
      <c r="L107" s="364">
        <f t="shared" si="27"/>
        <v>5.1296201958453613</v>
      </c>
      <c r="M107" s="364">
        <f t="shared" si="28"/>
        <v>3.1972972482841961</v>
      </c>
      <c r="N107" s="357"/>
      <c r="O107" s="365">
        <f>'App 5 - Organics'!F107</f>
        <v>0</v>
      </c>
      <c r="P107" s="366"/>
      <c r="Q107" s="367"/>
      <c r="R107" s="368">
        <f>'App 5 - Organics'!J107</f>
        <v>1666.39</v>
      </c>
      <c r="S107" s="369">
        <f t="shared" ref="S107" si="40">(R107*1000)/Z107/52</f>
        <v>5.895136412520519</v>
      </c>
      <c r="T107" s="370">
        <f t="shared" ref="T107" si="41">(R107*1000)/AF107/52</f>
        <v>3.6744442493574492</v>
      </c>
      <c r="V107" s="371">
        <f>'App 1 - Services'!G107</f>
        <v>9309</v>
      </c>
      <c r="W107" s="372">
        <f>'App 1 - Services'!M107</f>
        <v>5436</v>
      </c>
      <c r="X107" s="373">
        <f>'App 1 - Services'!N107</f>
        <v>5436</v>
      </c>
      <c r="Y107" s="374">
        <v>0</v>
      </c>
      <c r="Z107" s="368">
        <v>5436</v>
      </c>
      <c r="AB107" s="375">
        <f>'App 1 - Services'!F107</f>
        <v>14935</v>
      </c>
      <c r="AC107" s="372">
        <f t="shared" si="31"/>
        <v>8721.3084112149536</v>
      </c>
      <c r="AD107" s="373">
        <f t="shared" si="32"/>
        <v>8721.3084112149536</v>
      </c>
      <c r="AE107" s="374">
        <f t="shared" si="33"/>
        <v>0</v>
      </c>
      <c r="AF107" s="368">
        <f t="shared" si="34"/>
        <v>8721.3084112149536</v>
      </c>
      <c r="AG107" s="376"/>
      <c r="AH107" s="377">
        <f t="shared" si="24"/>
        <v>5436</v>
      </c>
      <c r="AI107" s="377">
        <f t="shared" si="25"/>
        <v>8721.3084112149536</v>
      </c>
      <c r="AJ107" s="377">
        <f t="shared" si="26"/>
        <v>1666.39</v>
      </c>
      <c r="AK107" s="369"/>
      <c r="AL107" s="370"/>
    </row>
    <row r="108" spans="1:38" x14ac:dyDescent="0.2">
      <c r="A108" s="8">
        <v>17100</v>
      </c>
      <c r="B108" s="8" t="s">
        <v>153</v>
      </c>
      <c r="C108" s="8"/>
      <c r="D108" s="29" t="s">
        <v>2</v>
      </c>
      <c r="E108" s="357"/>
      <c r="F108" s="358">
        <f>'App 6 - Residual Waste'!F108</f>
        <v>10936.72</v>
      </c>
      <c r="G108" s="359">
        <f t="shared" si="22"/>
        <v>9.4433162024756854</v>
      </c>
      <c r="H108" s="360">
        <f t="shared" si="23"/>
        <v>3.9545268816280643</v>
      </c>
      <c r="I108" s="361"/>
      <c r="J108" s="362"/>
      <c r="K108" s="363">
        <f>'App 4 - Recyclables'!F109</f>
        <v>2255.15</v>
      </c>
      <c r="L108" s="364">
        <f t="shared" si="27"/>
        <v>2.0103031210665754</v>
      </c>
      <c r="M108" s="364">
        <f t="shared" si="28"/>
        <v>0.84184385675811946</v>
      </c>
      <c r="N108" s="357"/>
      <c r="O108" s="365">
        <f>'App 5 - Organics'!F108</f>
        <v>2497.44</v>
      </c>
      <c r="P108" s="366">
        <f t="shared" si="29"/>
        <v>8.233789183557743</v>
      </c>
      <c r="Q108" s="367">
        <f t="shared" si="30"/>
        <v>3.4480197386063667</v>
      </c>
      <c r="R108" s="368">
        <f>'App 5 - Organics'!J108</f>
        <v>0</v>
      </c>
      <c r="S108" s="369"/>
      <c r="T108" s="370"/>
      <c r="V108" s="371">
        <f>'App 1 - Services'!G108</f>
        <v>20027</v>
      </c>
      <c r="W108" s="372">
        <f>'App 1 - Services'!M108</f>
        <v>22272</v>
      </c>
      <c r="X108" s="373">
        <f>'App 1 - Services'!N108</f>
        <v>21573</v>
      </c>
      <c r="Y108" s="374">
        <v>5833</v>
      </c>
      <c r="Z108" s="368">
        <v>0</v>
      </c>
      <c r="AB108" s="375">
        <f>'App 1 - Services'!F108</f>
        <v>47824</v>
      </c>
      <c r="AC108" s="372">
        <f t="shared" si="31"/>
        <v>53185.006641034604</v>
      </c>
      <c r="AD108" s="373">
        <f t="shared" si="32"/>
        <v>51515.811254806016</v>
      </c>
      <c r="AE108" s="374">
        <f t="shared" si="33"/>
        <v>13929.065361761623</v>
      </c>
      <c r="AF108" s="368">
        <f t="shared" si="34"/>
        <v>0</v>
      </c>
      <c r="AG108" s="376"/>
      <c r="AH108" s="377">
        <f t="shared" si="24"/>
        <v>5833</v>
      </c>
      <c r="AI108" s="377">
        <f t="shared" si="25"/>
        <v>13929.065361761623</v>
      </c>
      <c r="AJ108" s="377">
        <f t="shared" si="26"/>
        <v>2497.44</v>
      </c>
      <c r="AK108" s="369">
        <f>(AJ108*1000)/AE108/52</f>
        <v>3.4480197386063667</v>
      </c>
      <c r="AL108" s="370"/>
    </row>
    <row r="109" spans="1:38" x14ac:dyDescent="0.2">
      <c r="A109" s="8">
        <v>17150</v>
      </c>
      <c r="B109" s="8" t="s">
        <v>154</v>
      </c>
      <c r="C109" s="8" t="s">
        <v>17</v>
      </c>
      <c r="D109" s="29" t="s">
        <v>2</v>
      </c>
      <c r="E109" s="357"/>
      <c r="F109" s="358">
        <f>'App 6 - Residual Waste'!F109</f>
        <v>47675</v>
      </c>
      <c r="G109" s="359">
        <f t="shared" si="22"/>
        <v>10.577999181716603</v>
      </c>
      <c r="H109" s="360">
        <f t="shared" si="23"/>
        <v>4.0269299566680266</v>
      </c>
      <c r="I109" s="361"/>
      <c r="J109" s="362"/>
      <c r="K109" s="363">
        <f>'App 4 - Recyclables'!F110</f>
        <v>17888</v>
      </c>
      <c r="L109" s="364">
        <f t="shared" si="27"/>
        <v>3.9689407312542544</v>
      </c>
      <c r="M109" s="364">
        <f t="shared" si="28"/>
        <v>1.5109328382774547</v>
      </c>
      <c r="N109" s="357"/>
      <c r="O109" s="365">
        <f>'App 5 - Organics'!F109</f>
        <v>29897</v>
      </c>
      <c r="P109" s="366">
        <f t="shared" si="29"/>
        <v>10.158888730317301</v>
      </c>
      <c r="Q109" s="367">
        <f t="shared" si="30"/>
        <v>3.8673791377561062</v>
      </c>
      <c r="R109" s="368">
        <f>'App 5 - Organics'!J109</f>
        <v>0</v>
      </c>
      <c r="S109" s="369"/>
      <c r="T109" s="370"/>
      <c r="V109" s="371">
        <f>'App 1 - Services'!G109</f>
        <v>89473</v>
      </c>
      <c r="W109" s="372">
        <f>'App 1 - Services'!M109</f>
        <v>86673</v>
      </c>
      <c r="X109" s="373">
        <f>'App 1 - Services'!N109</f>
        <v>86673</v>
      </c>
      <c r="Y109" s="374">
        <v>56595</v>
      </c>
      <c r="Z109" s="368">
        <v>0</v>
      </c>
      <c r="AB109" s="375">
        <f>'App 1 - Services'!F109</f>
        <v>235029</v>
      </c>
      <c r="AC109" s="372">
        <f t="shared" si="31"/>
        <v>227673.91857878913</v>
      </c>
      <c r="AD109" s="373">
        <f t="shared" si="32"/>
        <v>227673.91857878913</v>
      </c>
      <c r="AE109" s="374">
        <f t="shared" si="33"/>
        <v>148664.58322622467</v>
      </c>
      <c r="AF109" s="368">
        <f t="shared" si="34"/>
        <v>0</v>
      </c>
      <c r="AG109" s="376"/>
      <c r="AH109" s="377">
        <f t="shared" si="24"/>
        <v>56595</v>
      </c>
      <c r="AI109" s="377">
        <f t="shared" si="25"/>
        <v>148664.58322622467</v>
      </c>
      <c r="AJ109" s="377">
        <f t="shared" si="26"/>
        <v>29897</v>
      </c>
      <c r="AK109" s="369">
        <f>(AJ109*1000)/AE109/52</f>
        <v>3.8673791377561062</v>
      </c>
      <c r="AL109" s="370"/>
    </row>
    <row r="110" spans="1:38" x14ac:dyDescent="0.2">
      <c r="A110" s="8">
        <v>17200</v>
      </c>
      <c r="B110" s="8" t="s">
        <v>61</v>
      </c>
      <c r="C110" s="8" t="s">
        <v>17</v>
      </c>
      <c r="D110" s="29" t="s">
        <v>2</v>
      </c>
      <c r="E110" s="357"/>
      <c r="F110" s="358">
        <f>'App 6 - Residual Waste'!F110</f>
        <v>43091</v>
      </c>
      <c r="G110" s="359">
        <f t="shared" si="22"/>
        <v>6.9555147929987404</v>
      </c>
      <c r="H110" s="360">
        <f t="shared" si="23"/>
        <v>3.9818595998052517</v>
      </c>
      <c r="I110" s="361"/>
      <c r="J110" s="362"/>
      <c r="K110" s="363">
        <f>'App 4 - Recyclables'!F111</f>
        <v>13194</v>
      </c>
      <c r="L110" s="364">
        <f t="shared" si="27"/>
        <v>1.5514241730558753</v>
      </c>
      <c r="M110" s="364">
        <f t="shared" si="28"/>
        <v>0.88815183644935125</v>
      </c>
      <c r="N110" s="357"/>
      <c r="O110" s="365">
        <f>'App 5 - Organics'!F110</f>
        <v>1758</v>
      </c>
      <c r="P110" s="366">
        <f t="shared" si="29"/>
        <v>0.60637249897213308</v>
      </c>
      <c r="Q110" s="367">
        <f t="shared" si="30"/>
        <v>0.34713320695118899</v>
      </c>
      <c r="R110" s="368">
        <f>'App 5 - Organics'!J110</f>
        <v>521</v>
      </c>
      <c r="S110" s="369"/>
      <c r="T110" s="370"/>
      <c r="V110" s="371">
        <f>'App 1 - Services'!G110</f>
        <v>132291</v>
      </c>
      <c r="W110" s="372">
        <f>'App 1 - Services'!M110</f>
        <v>119139</v>
      </c>
      <c r="X110" s="373">
        <f>'App 1 - Services'!N110</f>
        <v>163547</v>
      </c>
      <c r="Y110" s="374">
        <v>55754</v>
      </c>
      <c r="Z110" s="368">
        <v>19625</v>
      </c>
      <c r="AA110" s="637" t="s">
        <v>476</v>
      </c>
      <c r="AB110" s="375">
        <f>'App 1 - Services'!F110</f>
        <v>231086</v>
      </c>
      <c r="AC110" s="372">
        <f t="shared" si="31"/>
        <v>208112.07832732383</v>
      </c>
      <c r="AD110" s="373">
        <f t="shared" si="32"/>
        <v>285683.99998488184</v>
      </c>
      <c r="AE110" s="374">
        <f t="shared" si="33"/>
        <v>97391.121421714255</v>
      </c>
      <c r="AF110" s="368">
        <f t="shared" si="34"/>
        <v>34280.962045792985</v>
      </c>
      <c r="AG110" s="376"/>
      <c r="AH110" s="377">
        <f t="shared" si="24"/>
        <v>75379</v>
      </c>
      <c r="AI110" s="377">
        <f t="shared" si="25"/>
        <v>131672.08346750724</v>
      </c>
      <c r="AJ110" s="377">
        <f t="shared" si="26"/>
        <v>2279</v>
      </c>
      <c r="AK110" s="369" t="s">
        <v>419</v>
      </c>
      <c r="AL110" s="370"/>
    </row>
    <row r="111" spans="1:38" x14ac:dyDescent="0.2">
      <c r="A111" s="8">
        <v>17310</v>
      </c>
      <c r="B111" s="8" t="s">
        <v>155</v>
      </c>
      <c r="C111" s="8" t="s">
        <v>16</v>
      </c>
      <c r="D111" s="29" t="s">
        <v>1</v>
      </c>
      <c r="E111" s="357"/>
      <c r="F111" s="358">
        <f>'App 6 - Residual Waste'!F111</f>
        <v>15609.9</v>
      </c>
      <c r="G111" s="359">
        <f t="shared" si="22"/>
        <v>11.950729910242631</v>
      </c>
      <c r="H111" s="360">
        <f t="shared" si="23"/>
        <v>5.3249489616309615</v>
      </c>
      <c r="I111" s="361"/>
      <c r="J111" s="362"/>
      <c r="K111" s="363">
        <f>'App 4 - Recyclables'!F112</f>
        <v>3453.8</v>
      </c>
      <c r="L111" s="364">
        <f t="shared" si="27"/>
        <v>3.0150815184180293</v>
      </c>
      <c r="M111" s="364">
        <f t="shared" si="28"/>
        <v>1.3434455737278754</v>
      </c>
      <c r="N111" s="357"/>
      <c r="O111" s="365">
        <f>'App 5 - Organics'!F111</f>
        <v>4849.8</v>
      </c>
      <c r="P111" s="366">
        <f t="shared" si="29"/>
        <v>4.2337548057281138</v>
      </c>
      <c r="Q111" s="367">
        <f t="shared" si="30"/>
        <v>1.8864561768097312</v>
      </c>
      <c r="R111" s="368">
        <f>'App 5 - Organics'!J111</f>
        <v>0</v>
      </c>
      <c r="S111" s="369"/>
      <c r="T111" s="370"/>
      <c r="V111" s="371">
        <f>'App 1 - Services'!G111</f>
        <v>29072</v>
      </c>
      <c r="W111" s="372">
        <f>'App 1 - Services'!M111</f>
        <v>25119</v>
      </c>
      <c r="X111" s="373">
        <f>'App 1 - Services'!N111</f>
        <v>22029</v>
      </c>
      <c r="Y111" s="374">
        <v>22029</v>
      </c>
      <c r="Z111" s="368">
        <v>0</v>
      </c>
      <c r="AB111" s="375">
        <f>'App 1 - Services'!F111</f>
        <v>65246</v>
      </c>
      <c r="AC111" s="372">
        <f t="shared" si="31"/>
        <v>56374.321477710509</v>
      </c>
      <c r="AD111" s="373">
        <f t="shared" si="32"/>
        <v>49439.465258668133</v>
      </c>
      <c r="AE111" s="374">
        <f t="shared" si="33"/>
        <v>49439.465258668133</v>
      </c>
      <c r="AF111" s="368">
        <f t="shared" si="34"/>
        <v>0</v>
      </c>
      <c r="AG111" s="376"/>
      <c r="AH111" s="377">
        <f t="shared" si="24"/>
        <v>22029</v>
      </c>
      <c r="AI111" s="377">
        <f t="shared" si="25"/>
        <v>49439.465258668133</v>
      </c>
      <c r="AJ111" s="377">
        <f t="shared" si="26"/>
        <v>4849.8</v>
      </c>
      <c r="AK111" s="369">
        <f>(AJ111*1000)/AE111/52</f>
        <v>1.8864561768097312</v>
      </c>
      <c r="AL111" s="370"/>
    </row>
    <row r="112" spans="1:38" x14ac:dyDescent="0.2">
      <c r="A112" s="8">
        <v>17350</v>
      </c>
      <c r="B112" s="8" t="s">
        <v>156</v>
      </c>
      <c r="C112" s="8" t="s">
        <v>21</v>
      </c>
      <c r="D112" s="29" t="s">
        <v>1</v>
      </c>
      <c r="E112" s="378"/>
      <c r="F112" s="358">
        <f>'App 6 - Residual Waste'!F112</f>
        <v>2290</v>
      </c>
      <c r="G112" s="359">
        <f t="shared" si="22"/>
        <v>17.573208913991035</v>
      </c>
      <c r="H112" s="360">
        <f t="shared" si="23"/>
        <v>11.367642190174994</v>
      </c>
      <c r="I112" s="361"/>
      <c r="J112" s="362"/>
      <c r="K112" s="363">
        <f>'App 4 - Recyclables'!F113</f>
        <v>0</v>
      </c>
      <c r="L112" s="364"/>
      <c r="M112" s="364"/>
      <c r="N112" s="357"/>
      <c r="O112" s="365">
        <f>'App 5 - Organics'!F112</f>
        <v>0</v>
      </c>
      <c r="P112" s="366"/>
      <c r="Q112" s="367"/>
      <c r="R112" s="368">
        <f>'App 5 - Organics'!J112</f>
        <v>0</v>
      </c>
      <c r="S112" s="369"/>
      <c r="T112" s="370"/>
      <c r="V112" s="371">
        <f>'App 1 - Services'!G112</f>
        <v>3900</v>
      </c>
      <c r="W112" s="372">
        <f>'App 1 - Services'!M112</f>
        <v>2506</v>
      </c>
      <c r="X112" s="373">
        <f>'App 1 - Services'!N112</f>
        <v>0</v>
      </c>
      <c r="Y112" s="374">
        <v>0</v>
      </c>
      <c r="Z112" s="368">
        <v>0</v>
      </c>
      <c r="AA112" s="2">
        <v>1</v>
      </c>
      <c r="AB112" s="375">
        <f>'App 1 - Services'!F112</f>
        <v>6029</v>
      </c>
      <c r="AC112" s="372">
        <f t="shared" si="31"/>
        <v>3874.0189743589744</v>
      </c>
      <c r="AD112" s="373">
        <f t="shared" si="32"/>
        <v>0</v>
      </c>
      <c r="AE112" s="374">
        <f t="shared" si="33"/>
        <v>0</v>
      </c>
      <c r="AF112" s="368">
        <f t="shared" si="34"/>
        <v>0</v>
      </c>
      <c r="AG112" s="376"/>
      <c r="AH112" s="377">
        <f t="shared" si="24"/>
        <v>0</v>
      </c>
      <c r="AI112" s="377">
        <f t="shared" si="25"/>
        <v>0</v>
      </c>
      <c r="AJ112" s="377">
        <f t="shared" si="26"/>
        <v>0</v>
      </c>
      <c r="AK112" s="369"/>
      <c r="AL112" s="370"/>
    </row>
    <row r="113" spans="1:38" x14ac:dyDescent="0.2">
      <c r="A113" s="8">
        <v>17400</v>
      </c>
      <c r="B113" s="8" t="s">
        <v>157</v>
      </c>
      <c r="C113" s="8" t="s">
        <v>16</v>
      </c>
      <c r="D113" s="29" t="s">
        <v>1</v>
      </c>
      <c r="E113" s="357"/>
      <c r="F113" s="358">
        <f>'App 6 - Residual Waste'!F113</f>
        <v>2183</v>
      </c>
      <c r="G113" s="359">
        <f t="shared" si="22"/>
        <v>17.994328860166839</v>
      </c>
      <c r="H113" s="360">
        <f t="shared" si="23"/>
        <v>12.7428647513988</v>
      </c>
      <c r="I113" s="361"/>
      <c r="J113" s="362"/>
      <c r="K113" s="363">
        <f>'App 4 - Recyclables'!F114</f>
        <v>403.8</v>
      </c>
      <c r="L113" s="364">
        <f t="shared" si="27"/>
        <v>4.4577408813918575</v>
      </c>
      <c r="M113" s="364">
        <f t="shared" si="28"/>
        <v>3.1567939871379593</v>
      </c>
      <c r="N113" s="357"/>
      <c r="O113" s="365">
        <f>'App 5 - Organics'!F113</f>
        <v>0</v>
      </c>
      <c r="P113" s="366"/>
      <c r="Q113" s="367"/>
      <c r="R113" s="368">
        <f>'App 5 - Organics'!J113</f>
        <v>0</v>
      </c>
      <c r="S113" s="369"/>
      <c r="T113" s="370"/>
      <c r="V113" s="371">
        <f>'App 1 - Services'!G113</f>
        <v>4938</v>
      </c>
      <c r="W113" s="372">
        <f>'App 1 - Services'!M113</f>
        <v>2333</v>
      </c>
      <c r="X113" s="373">
        <f>'App 1 - Services'!N113</f>
        <v>1742</v>
      </c>
      <c r="Y113" s="374">
        <v>0</v>
      </c>
      <c r="Z113" s="368">
        <v>0</v>
      </c>
      <c r="AA113" s="2">
        <v>1</v>
      </c>
      <c r="AB113" s="375">
        <f>'App 1 - Services'!F113</f>
        <v>6973</v>
      </c>
      <c r="AC113" s="372">
        <f t="shared" si="31"/>
        <v>3294.4530174159581</v>
      </c>
      <c r="AD113" s="373">
        <f t="shared" si="32"/>
        <v>2459.8959092750101</v>
      </c>
      <c r="AE113" s="374">
        <f t="shared" si="33"/>
        <v>0</v>
      </c>
      <c r="AF113" s="368">
        <f t="shared" si="34"/>
        <v>0</v>
      </c>
      <c r="AG113" s="376"/>
      <c r="AH113" s="377">
        <f t="shared" si="24"/>
        <v>0</v>
      </c>
      <c r="AI113" s="377">
        <f t="shared" si="25"/>
        <v>0</v>
      </c>
      <c r="AJ113" s="377">
        <f t="shared" si="26"/>
        <v>0</v>
      </c>
      <c r="AK113" s="369"/>
      <c r="AL113" s="370"/>
    </row>
    <row r="114" spans="1:38" x14ac:dyDescent="0.2">
      <c r="A114" s="8">
        <v>17420</v>
      </c>
      <c r="B114" s="8" t="s">
        <v>158</v>
      </c>
      <c r="C114" s="8" t="s">
        <v>18</v>
      </c>
      <c r="D114" s="29" t="s">
        <v>2</v>
      </c>
      <c r="E114" s="357"/>
      <c r="F114" s="358">
        <f>'App 6 - Residual Waste'!F114</f>
        <v>42621.09</v>
      </c>
      <c r="G114" s="359">
        <f t="shared" si="22"/>
        <v>13.974805990585773</v>
      </c>
      <c r="H114" s="360">
        <f t="shared" si="23"/>
        <v>4.9293751106392545</v>
      </c>
      <c r="I114" s="361"/>
      <c r="J114" s="362"/>
      <c r="K114" s="363">
        <f>'App 4 - Recyclables'!F115</f>
        <v>11863.67</v>
      </c>
      <c r="L114" s="364">
        <f t="shared" si="27"/>
        <v>3.8074715041471268</v>
      </c>
      <c r="M114" s="364">
        <f t="shared" si="28"/>
        <v>1.3430208104251722</v>
      </c>
      <c r="N114" s="357"/>
      <c r="O114" s="365">
        <f>'App 5 - Organics'!F114</f>
        <v>18700.16</v>
      </c>
      <c r="P114" s="366">
        <f t="shared" si="29"/>
        <v>7.0272293412498588</v>
      </c>
      <c r="Q114" s="367">
        <f t="shared" si="30"/>
        <v>2.478735621435197</v>
      </c>
      <c r="R114" s="368">
        <f>'App 5 - Organics'!J114</f>
        <v>0</v>
      </c>
      <c r="S114" s="369"/>
      <c r="T114" s="370"/>
      <c r="V114" s="371">
        <f>'App 1 - Services'!G114</f>
        <v>73354</v>
      </c>
      <c r="W114" s="372">
        <f>'App 1 - Services'!M114</f>
        <v>58651</v>
      </c>
      <c r="X114" s="373">
        <f>'App 1 - Services'!N114</f>
        <v>59921</v>
      </c>
      <c r="Y114" s="374">
        <v>51175</v>
      </c>
      <c r="Z114" s="368">
        <v>0</v>
      </c>
      <c r="AB114" s="375">
        <f>'App 1 - Services'!F114</f>
        <v>207959</v>
      </c>
      <c r="AC114" s="372">
        <f t="shared" si="31"/>
        <v>166275.91282002346</v>
      </c>
      <c r="AD114" s="373">
        <f t="shared" si="32"/>
        <v>169876.36991847752</v>
      </c>
      <c r="AE114" s="374">
        <f t="shared" si="33"/>
        <v>145081.41103416309</v>
      </c>
      <c r="AF114" s="368">
        <f t="shared" si="34"/>
        <v>0</v>
      </c>
      <c r="AG114" s="376"/>
      <c r="AH114" s="377">
        <f t="shared" si="24"/>
        <v>51175</v>
      </c>
      <c r="AI114" s="377">
        <f t="shared" si="25"/>
        <v>145081.41103416309</v>
      </c>
      <c r="AJ114" s="377">
        <f t="shared" si="26"/>
        <v>18700.16</v>
      </c>
      <c r="AK114" s="369">
        <f>(AJ114*1000)/AE114/52</f>
        <v>2.478735621435197</v>
      </c>
      <c r="AL114" s="370"/>
    </row>
    <row r="115" spans="1:38" x14ac:dyDescent="0.2">
      <c r="A115" s="8">
        <v>17550</v>
      </c>
      <c r="B115" s="8" t="s">
        <v>159</v>
      </c>
      <c r="C115" s="8" t="s">
        <v>19</v>
      </c>
      <c r="D115" s="29" t="s">
        <v>3</v>
      </c>
      <c r="E115" s="357"/>
      <c r="F115" s="358">
        <f>'App 6 - Residual Waste'!F115</f>
        <v>13090</v>
      </c>
      <c r="G115" s="359">
        <f t="shared" si="22"/>
        <v>1258.6538461538462</v>
      </c>
      <c r="H115" s="360">
        <f t="shared" si="23"/>
        <v>627.89615769359011</v>
      </c>
      <c r="I115" s="361"/>
      <c r="J115" s="362"/>
      <c r="K115" s="363">
        <f>'App 4 - Recyclables'!F116</f>
        <v>8950</v>
      </c>
      <c r="L115" s="364">
        <f t="shared" si="27"/>
        <v>4.3906985871271589</v>
      </c>
      <c r="M115" s="364">
        <f t="shared" si="28"/>
        <v>2.1903581996529646</v>
      </c>
      <c r="N115" s="357"/>
      <c r="O115" s="365">
        <f>'App 5 - Organics'!F115</f>
        <v>0</v>
      </c>
      <c r="P115" s="366"/>
      <c r="Q115" s="367"/>
      <c r="R115" s="368">
        <f>'App 5 - Organics'!J115</f>
        <v>12024</v>
      </c>
      <c r="S115" s="369">
        <f t="shared" ref="S115" si="42">(R115*1000)/Z115/52</f>
        <v>8.6658460154693717</v>
      </c>
      <c r="T115" s="370">
        <f t="shared" ref="T115" si="43">(R115*1000)/AF115/52</f>
        <v>4.323072171832413</v>
      </c>
      <c r="V115" s="371">
        <f>'App 1 - Services'!G115</f>
        <v>49371</v>
      </c>
      <c r="W115" s="372">
        <f>'App 1 - Services'!M115</f>
        <v>200</v>
      </c>
      <c r="X115" s="373">
        <f>'App 1 - Services'!N115</f>
        <v>39200</v>
      </c>
      <c r="Y115" s="374">
        <v>0</v>
      </c>
      <c r="Z115" s="368">
        <v>26683</v>
      </c>
      <c r="AB115" s="375">
        <f>'App 1 - Services'!F115</f>
        <v>98967</v>
      </c>
      <c r="AC115" s="372">
        <f t="shared" si="31"/>
        <v>400.91146624536674</v>
      </c>
      <c r="AD115" s="373">
        <f t="shared" si="32"/>
        <v>78578.647384091877</v>
      </c>
      <c r="AE115" s="374">
        <f t="shared" si="33"/>
        <v>0</v>
      </c>
      <c r="AF115" s="368">
        <f t="shared" si="34"/>
        <v>53487.603269125597</v>
      </c>
      <c r="AG115" s="376" t="s">
        <v>13</v>
      </c>
      <c r="AH115" s="377">
        <f t="shared" si="24"/>
        <v>26683</v>
      </c>
      <c r="AI115" s="377">
        <f t="shared" si="25"/>
        <v>53487.603269125597</v>
      </c>
      <c r="AJ115" s="377">
        <f t="shared" si="26"/>
        <v>12024</v>
      </c>
      <c r="AK115" s="369"/>
      <c r="AL115" s="370">
        <f>(AJ115*1000)/AF115/52</f>
        <v>4.323072171832413</v>
      </c>
    </row>
    <row r="116" spans="1:38" x14ac:dyDescent="0.2">
      <c r="A116" s="8">
        <v>17620</v>
      </c>
      <c r="B116" s="8" t="s">
        <v>160</v>
      </c>
      <c r="C116" s="8" t="s">
        <v>23</v>
      </c>
      <c r="D116" s="29" t="s">
        <v>3</v>
      </c>
      <c r="E116" s="357"/>
      <c r="F116" s="358">
        <f>'App 6 - Residual Waste'!F116</f>
        <v>2160</v>
      </c>
      <c r="G116" s="359">
        <f t="shared" si="22"/>
        <v>8.0892817017451879</v>
      </c>
      <c r="H116" s="360">
        <f t="shared" si="23"/>
        <v>3.5814451278196708</v>
      </c>
      <c r="I116" s="361"/>
      <c r="J116" s="362"/>
      <c r="K116" s="363">
        <f>'App 4 - Recyclables'!F117</f>
        <v>821</v>
      </c>
      <c r="L116" s="364">
        <f t="shared" si="27"/>
        <v>3.1659237093365826</v>
      </c>
      <c r="M116" s="364">
        <f t="shared" si="28"/>
        <v>1.4016797117358508</v>
      </c>
      <c r="N116" s="357"/>
      <c r="O116" s="365">
        <f>'App 5 - Organics'!F116</f>
        <v>0</v>
      </c>
      <c r="P116" s="366"/>
      <c r="Q116" s="367"/>
      <c r="R116" s="368">
        <f>'App 5 - Organics'!J116</f>
        <v>1756</v>
      </c>
      <c r="S116" s="369"/>
      <c r="T116" s="370"/>
      <c r="V116" s="371">
        <f>'App 1 - Services'!G116</f>
        <v>6348</v>
      </c>
      <c r="W116" s="372">
        <f>'App 1 - Services'!M116</f>
        <v>5135</v>
      </c>
      <c r="X116" s="373">
        <f>'App 1 - Services'!N116</f>
        <v>4987</v>
      </c>
      <c r="Y116" s="374">
        <v>0</v>
      </c>
      <c r="Z116" s="368">
        <v>0</v>
      </c>
      <c r="AA116" s="2">
        <v>1</v>
      </c>
      <c r="AB116" s="375">
        <f>'App 1 - Services'!F116</f>
        <v>14338</v>
      </c>
      <c r="AC116" s="372">
        <f t="shared" si="31"/>
        <v>11598.240390674229</v>
      </c>
      <c r="AD116" s="373">
        <f t="shared" si="32"/>
        <v>11263.958097038438</v>
      </c>
      <c r="AE116" s="374">
        <f t="shared" si="33"/>
        <v>0</v>
      </c>
      <c r="AF116" s="368">
        <f t="shared" si="34"/>
        <v>0</v>
      </c>
      <c r="AG116" s="376"/>
      <c r="AH116" s="377">
        <f t="shared" si="24"/>
        <v>0</v>
      </c>
      <c r="AI116" s="377">
        <f t="shared" si="25"/>
        <v>0</v>
      </c>
      <c r="AJ116" s="377">
        <f t="shared" si="26"/>
        <v>1756</v>
      </c>
      <c r="AK116" s="369"/>
      <c r="AL116" s="370"/>
    </row>
    <row r="117" spans="1:38" x14ac:dyDescent="0.2">
      <c r="A117" s="8">
        <v>17640</v>
      </c>
      <c r="B117" s="8" t="s">
        <v>161</v>
      </c>
      <c r="C117" s="8" t="s">
        <v>67</v>
      </c>
      <c r="D117" s="29" t="s">
        <v>1</v>
      </c>
      <c r="E117" s="357"/>
      <c r="F117" s="358">
        <f>'App 6 - Residual Waste'!F117</f>
        <v>3045</v>
      </c>
      <c r="G117" s="359">
        <f t="shared" si="22"/>
        <v>26.714275687815835</v>
      </c>
      <c r="H117" s="360">
        <f t="shared" si="23"/>
        <v>21.418061601304217</v>
      </c>
      <c r="I117" s="361"/>
      <c r="J117" s="362"/>
      <c r="K117" s="363">
        <f>'App 4 - Recyclables'!F118</f>
        <v>520</v>
      </c>
      <c r="L117" s="364">
        <f t="shared" si="27"/>
        <v>4.562043795620438</v>
      </c>
      <c r="M117" s="364">
        <f t="shared" si="28"/>
        <v>3.6576000107317546</v>
      </c>
      <c r="N117" s="357"/>
      <c r="O117" s="365">
        <f>'App 5 - Organics'!F117</f>
        <v>260</v>
      </c>
      <c r="P117" s="366">
        <f t="shared" si="29"/>
        <v>2.281021897810219</v>
      </c>
      <c r="Q117" s="367">
        <f t="shared" si="30"/>
        <v>1.8288000053658773</v>
      </c>
      <c r="R117" s="368">
        <f>'App 5 - Organics'!J117</f>
        <v>0</v>
      </c>
      <c r="S117" s="369"/>
      <c r="T117" s="370"/>
      <c r="V117" s="371">
        <f>'App 1 - Services'!G117</f>
        <v>6980</v>
      </c>
      <c r="W117" s="372">
        <f>'App 1 - Services'!M117</f>
        <v>2192</v>
      </c>
      <c r="X117" s="373">
        <f>'App 1 - Services'!N117</f>
        <v>2192</v>
      </c>
      <c r="Y117" s="374">
        <v>2192</v>
      </c>
      <c r="Z117" s="368">
        <v>0</v>
      </c>
      <c r="AB117" s="375">
        <f>'App 1 - Services'!F117</f>
        <v>8706</v>
      </c>
      <c r="AC117" s="372">
        <f t="shared" si="31"/>
        <v>2734.0332378223497</v>
      </c>
      <c r="AD117" s="373">
        <f t="shared" si="32"/>
        <v>2734.0332378223497</v>
      </c>
      <c r="AE117" s="374">
        <f t="shared" si="33"/>
        <v>2734.0332378223497</v>
      </c>
      <c r="AF117" s="368">
        <f t="shared" si="34"/>
        <v>0</v>
      </c>
      <c r="AG117" s="376"/>
      <c r="AH117" s="377">
        <f t="shared" si="24"/>
        <v>2192</v>
      </c>
      <c r="AI117" s="377">
        <f t="shared" si="25"/>
        <v>2734.0332378223497</v>
      </c>
      <c r="AJ117" s="377">
        <f t="shared" si="26"/>
        <v>260</v>
      </c>
      <c r="AK117" s="369">
        <f>(AJ117*1000)/AE117/52</f>
        <v>1.8288000053658773</v>
      </c>
      <c r="AL117" s="370"/>
    </row>
    <row r="118" spans="1:38" x14ac:dyDescent="0.2">
      <c r="A118" s="8">
        <v>17650</v>
      </c>
      <c r="B118" s="8" t="s">
        <v>162</v>
      </c>
      <c r="C118" s="8" t="s">
        <v>16</v>
      </c>
      <c r="D118" s="29" t="s">
        <v>1</v>
      </c>
      <c r="E118" s="357"/>
      <c r="F118" s="358">
        <f>'App 6 - Residual Waste'!F118</f>
        <v>1156</v>
      </c>
      <c r="G118" s="359">
        <f t="shared" si="22"/>
        <v>10.693010693010693</v>
      </c>
      <c r="H118" s="360">
        <f t="shared" si="23"/>
        <v>5.6550765993464855</v>
      </c>
      <c r="I118" s="361"/>
      <c r="J118" s="362"/>
      <c r="K118" s="363">
        <f>'App 4 - Recyclables'!F119</f>
        <v>458</v>
      </c>
      <c r="L118" s="364">
        <f t="shared" si="27"/>
        <v>4.4371245882580892</v>
      </c>
      <c r="M118" s="364">
        <f t="shared" si="28"/>
        <v>2.3466056611955302</v>
      </c>
      <c r="N118" s="357"/>
      <c r="O118" s="365">
        <f>'App 5 - Organics'!F118</f>
        <v>48</v>
      </c>
      <c r="P118" s="366">
        <f t="shared" si="29"/>
        <v>6.3224446786090613</v>
      </c>
      <c r="Q118" s="367">
        <f t="shared" si="30"/>
        <v>3.3436709247877925</v>
      </c>
      <c r="R118" s="368">
        <f>'App 5 - Organics'!J118</f>
        <v>0</v>
      </c>
      <c r="S118" s="369"/>
      <c r="T118" s="370"/>
      <c r="V118" s="371">
        <f>'App 1 - Services'!G118</f>
        <v>3198</v>
      </c>
      <c r="W118" s="372">
        <f>'App 1 - Services'!M118</f>
        <v>2079</v>
      </c>
      <c r="X118" s="373">
        <f>'App 1 - Services'!N118</f>
        <v>1985</v>
      </c>
      <c r="Y118" s="374">
        <v>146</v>
      </c>
      <c r="Z118" s="368">
        <v>0</v>
      </c>
      <c r="AB118" s="375">
        <f>'App 1 - Services'!F118</f>
        <v>6047</v>
      </c>
      <c r="AC118" s="372">
        <f t="shared" si="31"/>
        <v>3931.1172607879926</v>
      </c>
      <c r="AD118" s="373">
        <f t="shared" si="32"/>
        <v>3753.3755472170105</v>
      </c>
      <c r="AE118" s="374">
        <f t="shared" si="33"/>
        <v>276.06691682301437</v>
      </c>
      <c r="AF118" s="368">
        <f t="shared" si="34"/>
        <v>0</v>
      </c>
      <c r="AG118" s="376"/>
      <c r="AH118" s="377">
        <f t="shared" si="24"/>
        <v>146</v>
      </c>
      <c r="AI118" s="377">
        <f t="shared" si="25"/>
        <v>276.06691682301437</v>
      </c>
      <c r="AJ118" s="377">
        <f t="shared" si="26"/>
        <v>48</v>
      </c>
      <c r="AK118" s="369">
        <f>(AJ118*1000)/AE118/52</f>
        <v>3.3436709247877925</v>
      </c>
      <c r="AL118" s="370"/>
    </row>
    <row r="119" spans="1:38" x14ac:dyDescent="0.2">
      <c r="A119" s="8">
        <v>17750</v>
      </c>
      <c r="B119" s="8" t="s">
        <v>163</v>
      </c>
      <c r="C119" s="8" t="s">
        <v>21</v>
      </c>
      <c r="D119" s="29" t="s">
        <v>1</v>
      </c>
      <c r="E119" s="383"/>
      <c r="F119" s="358">
        <f>'App 6 - Residual Waste'!F119</f>
        <v>7865</v>
      </c>
      <c r="G119" s="359">
        <f t="shared" si="22"/>
        <v>5.4948049117198288</v>
      </c>
      <c r="H119" s="360">
        <f t="shared" si="23"/>
        <v>2.0952162276163184</v>
      </c>
      <c r="I119" s="361"/>
      <c r="J119" s="362"/>
      <c r="K119" s="363">
        <f>'App 4 - Recyclables'!F120</f>
        <v>4340.28</v>
      </c>
      <c r="L119" s="364">
        <f t="shared" si="27"/>
        <v>3.3759473821761476</v>
      </c>
      <c r="M119" s="364">
        <f t="shared" si="28"/>
        <v>1.2872776836221467</v>
      </c>
      <c r="N119" s="357"/>
      <c r="O119" s="365">
        <f>'App 5 - Organics'!F119</f>
        <v>0</v>
      </c>
      <c r="P119" s="366"/>
      <c r="Q119" s="367"/>
      <c r="R119" s="368">
        <f>'App 5 - Organics'!J119</f>
        <v>13088</v>
      </c>
      <c r="S119" s="369">
        <f t="shared" si="35"/>
        <v>9.3971142358239135</v>
      </c>
      <c r="T119" s="370">
        <f t="shared" si="36"/>
        <v>3.5832002329451385</v>
      </c>
      <c r="V119" s="371">
        <f>'App 1 - Services'!G119</f>
        <v>26202</v>
      </c>
      <c r="W119" s="372">
        <f>'App 1 - Services'!M119</f>
        <v>27526</v>
      </c>
      <c r="X119" s="373">
        <f>'App 1 - Services'!N119</f>
        <v>24724</v>
      </c>
      <c r="Y119" s="374">
        <v>0</v>
      </c>
      <c r="Z119" s="368">
        <v>26784</v>
      </c>
      <c r="AB119" s="375">
        <f>'App 1 - Services'!F119</f>
        <v>68716</v>
      </c>
      <c r="AC119" s="372">
        <f t="shared" si="31"/>
        <v>72188.253415769796</v>
      </c>
      <c r="AD119" s="373">
        <f t="shared" si="32"/>
        <v>64839.874208075722</v>
      </c>
      <c r="AE119" s="374">
        <f t="shared" si="33"/>
        <v>0</v>
      </c>
      <c r="AF119" s="368">
        <f t="shared" si="34"/>
        <v>70242.322876116334</v>
      </c>
      <c r="AG119" s="376" t="s">
        <v>13</v>
      </c>
      <c r="AH119" s="377">
        <f t="shared" si="24"/>
        <v>26784</v>
      </c>
      <c r="AI119" s="377">
        <f t="shared" si="25"/>
        <v>70242.322876116334</v>
      </c>
      <c r="AJ119" s="377">
        <f t="shared" si="26"/>
        <v>13088</v>
      </c>
      <c r="AK119" s="369"/>
      <c r="AL119" s="370">
        <f>(AJ119*1000)/AF119/52</f>
        <v>3.5832002329451385</v>
      </c>
    </row>
    <row r="120" spans="1:38" x14ac:dyDescent="0.2">
      <c r="A120" s="8">
        <v>17850</v>
      </c>
      <c r="B120" s="8" t="s">
        <v>164</v>
      </c>
      <c r="C120" s="8" t="s">
        <v>16</v>
      </c>
      <c r="D120" s="29" t="s">
        <v>1</v>
      </c>
      <c r="E120" s="384"/>
      <c r="F120" s="358">
        <f>'App 6 - Residual Waste'!F120</f>
        <v>434.71</v>
      </c>
      <c r="G120" s="359">
        <f t="shared" si="22"/>
        <v>10.703979119472077</v>
      </c>
      <c r="H120" s="360">
        <f t="shared" si="23"/>
        <v>5.8749265450202204</v>
      </c>
      <c r="I120" s="361"/>
      <c r="J120" s="362"/>
      <c r="K120" s="363">
        <f>'App 4 - Recyclables'!F121</f>
        <v>179.93</v>
      </c>
      <c r="L120" s="364">
        <f t="shared" si="27"/>
        <v>4.5349833652585945</v>
      </c>
      <c r="M120" s="364">
        <f t="shared" si="28"/>
        <v>2.4890457890856634</v>
      </c>
      <c r="N120" s="357"/>
      <c r="O120" s="365">
        <f>'App 5 - Organics'!F120</f>
        <v>161.15</v>
      </c>
      <c r="P120" s="366">
        <f t="shared" si="29"/>
        <v>4.0616493598144974</v>
      </c>
      <c r="Q120" s="367">
        <f t="shared" si="30"/>
        <v>2.2292543150733879</v>
      </c>
      <c r="R120" s="368">
        <f>'App 5 - Organics'!J120</f>
        <v>0</v>
      </c>
      <c r="S120" s="369"/>
      <c r="T120" s="370"/>
      <c r="V120" s="371">
        <f>'App 1 - Services'!G120</f>
        <v>1629</v>
      </c>
      <c r="W120" s="372">
        <f>'App 1 - Services'!M120</f>
        <v>781</v>
      </c>
      <c r="X120" s="373">
        <f>'App 1 - Services'!N120</f>
        <v>763</v>
      </c>
      <c r="Y120" s="374">
        <v>763</v>
      </c>
      <c r="Z120" s="368">
        <v>0</v>
      </c>
      <c r="AB120" s="375">
        <f>'App 1 - Services'!F120</f>
        <v>2968</v>
      </c>
      <c r="AC120" s="372">
        <f t="shared" si="31"/>
        <v>1422.9637814610189</v>
      </c>
      <c r="AD120" s="373">
        <f t="shared" si="32"/>
        <v>1390.1682013505219</v>
      </c>
      <c r="AE120" s="374">
        <f t="shared" si="33"/>
        <v>1390.1682013505219</v>
      </c>
      <c r="AF120" s="368">
        <f t="shared" si="34"/>
        <v>0</v>
      </c>
      <c r="AG120" s="376"/>
      <c r="AH120" s="377">
        <f t="shared" si="24"/>
        <v>763</v>
      </c>
      <c r="AI120" s="377">
        <f t="shared" si="25"/>
        <v>1390.1682013505219</v>
      </c>
      <c r="AJ120" s="377">
        <f t="shared" si="26"/>
        <v>161.15</v>
      </c>
      <c r="AK120" s="369">
        <f>(AJ120*1000)/AE120/52</f>
        <v>2.2292543150733879</v>
      </c>
      <c r="AL120" s="370"/>
    </row>
    <row r="121" spans="1:38" x14ac:dyDescent="0.2">
      <c r="A121" s="8">
        <v>17900</v>
      </c>
      <c r="B121" s="8" t="s">
        <v>165</v>
      </c>
      <c r="C121" s="8" t="s">
        <v>38</v>
      </c>
      <c r="D121" s="29" t="s">
        <v>1</v>
      </c>
      <c r="E121" s="384"/>
      <c r="F121" s="358">
        <f>'App 6 - Residual Waste'!F121</f>
        <v>3000</v>
      </c>
      <c r="G121" s="359">
        <f t="shared" si="22"/>
        <v>37.633599277434897</v>
      </c>
      <c r="H121" s="360">
        <f t="shared" si="23"/>
        <v>39.229225700866635</v>
      </c>
      <c r="I121" s="361"/>
      <c r="J121" s="362"/>
      <c r="K121" s="363">
        <f>'App 4 - Recyclables'!F122</f>
        <v>0</v>
      </c>
      <c r="L121" s="364"/>
      <c r="M121" s="364"/>
      <c r="N121" s="357"/>
      <c r="O121" s="365">
        <f>'App 5 - Organics'!F121</f>
        <v>0</v>
      </c>
      <c r="P121" s="366"/>
      <c r="Q121" s="367"/>
      <c r="R121" s="368">
        <f>'App 5 - Organics'!J121</f>
        <v>0</v>
      </c>
      <c r="S121" s="369"/>
      <c r="T121" s="370"/>
      <c r="V121" s="371">
        <f>'App 1 - Services'!G121</f>
        <v>5753</v>
      </c>
      <c r="W121" s="372">
        <f>'App 1 - Services'!M121</f>
        <v>1533</v>
      </c>
      <c r="X121" s="373">
        <f>'App 1 - Services'!N121</f>
        <v>0</v>
      </c>
      <c r="Y121" s="374">
        <v>0</v>
      </c>
      <c r="Z121" s="368">
        <v>0</v>
      </c>
      <c r="AA121" s="2">
        <v>1</v>
      </c>
      <c r="AB121" s="375">
        <f>'App 1 - Services'!F121</f>
        <v>5519</v>
      </c>
      <c r="AC121" s="372">
        <f t="shared" si="31"/>
        <v>1470.6460976881626</v>
      </c>
      <c r="AD121" s="373">
        <f t="shared" si="32"/>
        <v>0</v>
      </c>
      <c r="AE121" s="374">
        <f t="shared" si="33"/>
        <v>0</v>
      </c>
      <c r="AF121" s="368">
        <f t="shared" si="34"/>
        <v>0</v>
      </c>
      <c r="AG121" s="376"/>
      <c r="AH121" s="377">
        <f t="shared" si="24"/>
        <v>0</v>
      </c>
      <c r="AI121" s="377">
        <f t="shared" si="25"/>
        <v>0</v>
      </c>
      <c r="AJ121" s="377">
        <f t="shared" si="26"/>
        <v>0</v>
      </c>
      <c r="AK121" s="369"/>
      <c r="AL121" s="370"/>
    </row>
    <row r="122" spans="1:38" x14ac:dyDescent="0.2">
      <c r="A122" s="8">
        <v>17950</v>
      </c>
      <c r="B122" s="8" t="s">
        <v>166</v>
      </c>
      <c r="C122" s="8" t="s">
        <v>38</v>
      </c>
      <c r="D122" s="29" t="s">
        <v>1</v>
      </c>
      <c r="E122" s="384"/>
      <c r="F122" s="358">
        <f>'App 6 - Residual Waste'!F122</f>
        <v>177</v>
      </c>
      <c r="G122" s="359">
        <f t="shared" si="22"/>
        <v>3.5829959514170042</v>
      </c>
      <c r="H122" s="360">
        <f t="shared" si="23"/>
        <v>2.8547447417794016</v>
      </c>
      <c r="I122" s="361"/>
      <c r="J122" s="362"/>
      <c r="K122" s="363">
        <f>'App 4 - Recyclables'!F123</f>
        <v>0</v>
      </c>
      <c r="L122" s="364"/>
      <c r="M122" s="364"/>
      <c r="N122" s="357"/>
      <c r="O122" s="365">
        <f>'App 5 - Organics'!F122</f>
        <v>0</v>
      </c>
      <c r="P122" s="366"/>
      <c r="Q122" s="367"/>
      <c r="R122" s="368">
        <f>'App 5 - Organics'!J122</f>
        <v>0</v>
      </c>
      <c r="S122" s="369"/>
      <c r="T122" s="370"/>
      <c r="V122" s="371">
        <f>'App 1 - Services'!G122</f>
        <v>2058</v>
      </c>
      <c r="W122" s="372">
        <f>'App 1 - Services'!M122</f>
        <v>950</v>
      </c>
      <c r="X122" s="373">
        <f>'App 1 - Services'!N122</f>
        <v>0</v>
      </c>
      <c r="Y122" s="374">
        <v>0</v>
      </c>
      <c r="Z122" s="368">
        <v>0</v>
      </c>
      <c r="AA122" s="2">
        <v>1</v>
      </c>
      <c r="AB122" s="375">
        <f>'App 1 - Services'!F122</f>
        <v>2583</v>
      </c>
      <c r="AC122" s="372">
        <f t="shared" si="31"/>
        <v>1192.3469387755101</v>
      </c>
      <c r="AD122" s="373">
        <f t="shared" si="32"/>
        <v>0</v>
      </c>
      <c r="AE122" s="374">
        <f t="shared" si="33"/>
        <v>0</v>
      </c>
      <c r="AF122" s="368">
        <f t="shared" si="34"/>
        <v>0</v>
      </c>
      <c r="AG122" s="376"/>
      <c r="AH122" s="377">
        <f t="shared" si="24"/>
        <v>0</v>
      </c>
      <c r="AI122" s="377">
        <f t="shared" si="25"/>
        <v>0</v>
      </c>
      <c r="AJ122" s="377">
        <f t="shared" si="26"/>
        <v>0</v>
      </c>
      <c r="AK122" s="369"/>
      <c r="AL122" s="370"/>
    </row>
    <row r="123" spans="1:38" x14ac:dyDescent="0.2">
      <c r="A123" s="8">
        <v>18020</v>
      </c>
      <c r="B123" s="8" t="s">
        <v>167</v>
      </c>
      <c r="C123" s="8" t="s">
        <v>38</v>
      </c>
      <c r="D123" s="29" t="s">
        <v>1</v>
      </c>
      <c r="E123" s="384"/>
      <c r="F123" s="358">
        <f>'App 6 - Residual Waste'!F123</f>
        <v>3646</v>
      </c>
      <c r="G123" s="359">
        <f t="shared" si="22"/>
        <v>23.00373511003432</v>
      </c>
      <c r="H123" s="360">
        <f t="shared" si="23"/>
        <v>15.113962502399012</v>
      </c>
      <c r="I123" s="361"/>
      <c r="J123" s="362"/>
      <c r="K123" s="363">
        <f>'App 4 - Recyclables'!F124</f>
        <v>247.77</v>
      </c>
      <c r="L123" s="364">
        <f t="shared" si="27"/>
        <v>1.5632571168988494</v>
      </c>
      <c r="M123" s="364">
        <f t="shared" si="28"/>
        <v>1.0270944841523322</v>
      </c>
      <c r="N123" s="357"/>
      <c r="O123" s="365">
        <f>'App 5 - Organics'!F123</f>
        <v>0</v>
      </c>
      <c r="P123" s="366"/>
      <c r="Q123" s="367"/>
      <c r="R123" s="368">
        <f>'App 5 - Organics'!J123</f>
        <v>0</v>
      </c>
      <c r="S123" s="369"/>
      <c r="T123" s="370"/>
      <c r="V123" s="371">
        <f>'App 1 - Services'!G123</f>
        <v>6063</v>
      </c>
      <c r="W123" s="372">
        <f>'App 1 - Services'!M123</f>
        <v>3048</v>
      </c>
      <c r="X123" s="373">
        <f>'App 1 - Services'!N123</f>
        <v>3048</v>
      </c>
      <c r="Y123" s="374">
        <v>0</v>
      </c>
      <c r="Z123" s="368">
        <v>0</v>
      </c>
      <c r="AA123" s="2">
        <v>1</v>
      </c>
      <c r="AB123" s="375">
        <f>'App 1 - Services'!F123</f>
        <v>9228</v>
      </c>
      <c r="AC123" s="372">
        <f t="shared" si="31"/>
        <v>4639.1133102424546</v>
      </c>
      <c r="AD123" s="373">
        <f t="shared" si="32"/>
        <v>4639.1133102424546</v>
      </c>
      <c r="AE123" s="374">
        <f t="shared" si="33"/>
        <v>0</v>
      </c>
      <c r="AF123" s="368">
        <f t="shared" si="34"/>
        <v>0</v>
      </c>
      <c r="AG123" s="376"/>
      <c r="AH123" s="377">
        <f t="shared" si="24"/>
        <v>0</v>
      </c>
      <c r="AI123" s="377">
        <f t="shared" si="25"/>
        <v>0</v>
      </c>
      <c r="AJ123" s="377">
        <f t="shared" si="26"/>
        <v>0</v>
      </c>
      <c r="AK123" s="369"/>
      <c r="AL123" s="370"/>
    </row>
    <row r="124" spans="1:38" x14ac:dyDescent="0.2">
      <c r="A124" s="8">
        <v>18050</v>
      </c>
      <c r="B124" s="8" t="s">
        <v>62</v>
      </c>
      <c r="C124" s="8" t="s">
        <v>17</v>
      </c>
      <c r="D124" s="29" t="s">
        <v>2</v>
      </c>
      <c r="E124" s="384"/>
      <c r="F124" s="358">
        <f>'App 6 - Residual Waste'!F124</f>
        <v>13600</v>
      </c>
      <c r="G124" s="359">
        <f t="shared" si="22"/>
        <v>8.7679258955533719</v>
      </c>
      <c r="H124" s="360">
        <f t="shared" si="23"/>
        <v>3.6630222238473533</v>
      </c>
      <c r="I124" s="361"/>
      <c r="J124" s="362"/>
      <c r="K124" s="363">
        <f>'App 4 - Recyclables'!F125</f>
        <v>4996</v>
      </c>
      <c r="L124" s="364">
        <f t="shared" si="27"/>
        <v>2.3858188000229221</v>
      </c>
      <c r="M124" s="364">
        <f t="shared" si="28"/>
        <v>0.99673598872327396</v>
      </c>
      <c r="N124" s="357"/>
      <c r="O124" s="365">
        <f>'App 5 - Organics'!F124</f>
        <v>2413</v>
      </c>
      <c r="P124" s="366">
        <f t="shared" si="29"/>
        <v>1.5556621460272271</v>
      </c>
      <c r="Q124" s="367">
        <f t="shared" si="30"/>
        <v>0.64991710486350462</v>
      </c>
      <c r="R124" s="368">
        <f>'App 5 - Organics'!J124</f>
        <v>0</v>
      </c>
      <c r="S124" s="369"/>
      <c r="T124" s="370"/>
      <c r="V124" s="371">
        <f>'App 1 - Services'!G124</f>
        <v>29835</v>
      </c>
      <c r="W124" s="372">
        <f>'App 1 - Services'!M124</f>
        <v>29829</v>
      </c>
      <c r="X124" s="373">
        <f>'App 1 - Services'!N124</f>
        <v>40270</v>
      </c>
      <c r="Y124" s="374">
        <v>29829</v>
      </c>
      <c r="Z124" s="368">
        <v>0</v>
      </c>
      <c r="AB124" s="375">
        <f>'App 1 - Services'!F124</f>
        <v>71414</v>
      </c>
      <c r="AC124" s="372">
        <f t="shared" si="31"/>
        <v>71399.638210155856</v>
      </c>
      <c r="AD124" s="373">
        <f t="shared" si="32"/>
        <v>96391.546170604983</v>
      </c>
      <c r="AE124" s="374">
        <f t="shared" si="33"/>
        <v>71399.638210155856</v>
      </c>
      <c r="AF124" s="368">
        <f t="shared" si="34"/>
        <v>0</v>
      </c>
      <c r="AG124" s="376"/>
      <c r="AH124" s="377">
        <f t="shared" si="24"/>
        <v>29829</v>
      </c>
      <c r="AI124" s="377">
        <f t="shared" si="25"/>
        <v>71399.638210155856</v>
      </c>
      <c r="AJ124" s="377">
        <f t="shared" si="26"/>
        <v>2413</v>
      </c>
      <c r="AK124" s="369">
        <f>(AJ124*1000)/AE124/52</f>
        <v>0.64991710486350462</v>
      </c>
      <c r="AL124" s="370"/>
    </row>
    <row r="125" spans="1:38" x14ac:dyDescent="0.2">
      <c r="A125" s="8">
        <v>18100</v>
      </c>
      <c r="B125" s="8" t="s">
        <v>168</v>
      </c>
      <c r="C125" s="8" t="s">
        <v>38</v>
      </c>
      <c r="D125" s="29" t="s">
        <v>1</v>
      </c>
      <c r="E125" s="357"/>
      <c r="F125" s="358">
        <f>'App 6 - Residual Waste'!F125</f>
        <v>595</v>
      </c>
      <c r="G125" s="359">
        <f t="shared" si="22"/>
        <v>9.0381577348401994</v>
      </c>
      <c r="H125" s="360">
        <f t="shared" si="23"/>
        <v>6.5286692487285958</v>
      </c>
      <c r="I125" s="361"/>
      <c r="J125" s="362"/>
      <c r="K125" s="363">
        <f>'App 4 - Recyclables'!F126</f>
        <v>170.12</v>
      </c>
      <c r="L125" s="364">
        <f t="shared" si="27"/>
        <v>2.9768320851123398</v>
      </c>
      <c r="M125" s="364">
        <f t="shared" si="28"/>
        <v>2.1503001676751747</v>
      </c>
      <c r="N125" s="357"/>
      <c r="O125" s="365">
        <f>'App 5 - Organics'!F125</f>
        <v>0</v>
      </c>
      <c r="P125" s="366"/>
      <c r="Q125" s="367"/>
      <c r="R125" s="368">
        <f>'App 5 - Organics'!J125</f>
        <v>0</v>
      </c>
      <c r="S125" s="369"/>
      <c r="T125" s="370"/>
      <c r="V125" s="371">
        <f>'App 1 - Services'!G125</f>
        <v>2612</v>
      </c>
      <c r="W125" s="372">
        <f>'App 1 - Services'!M125</f>
        <v>1266</v>
      </c>
      <c r="X125" s="373">
        <f>'App 1 - Services'!N125</f>
        <v>1099</v>
      </c>
      <c r="Y125" s="374">
        <v>0</v>
      </c>
      <c r="Z125" s="368">
        <v>0</v>
      </c>
      <c r="AA125" s="2">
        <v>1</v>
      </c>
      <c r="AB125" s="375">
        <f>'App 1 - Services'!F125</f>
        <v>3616</v>
      </c>
      <c r="AC125" s="372">
        <f t="shared" si="31"/>
        <v>1752.6248085758039</v>
      </c>
      <c r="AD125" s="373">
        <f t="shared" si="32"/>
        <v>1521.4333843797856</v>
      </c>
      <c r="AE125" s="374">
        <f t="shared" si="33"/>
        <v>0</v>
      </c>
      <c r="AF125" s="368">
        <f t="shared" si="34"/>
        <v>0</v>
      </c>
      <c r="AG125" s="376"/>
      <c r="AH125" s="377">
        <f t="shared" si="24"/>
        <v>0</v>
      </c>
      <c r="AI125" s="377">
        <f t="shared" si="25"/>
        <v>0</v>
      </c>
      <c r="AJ125" s="377">
        <f t="shared" si="26"/>
        <v>0</v>
      </c>
      <c r="AK125" s="369"/>
      <c r="AL125" s="370"/>
    </row>
    <row r="126" spans="1:38" x14ac:dyDescent="0.2">
      <c r="A126" s="8">
        <v>18200</v>
      </c>
      <c r="B126" s="8" t="s">
        <v>169</v>
      </c>
      <c r="C126" s="8" t="s">
        <v>66</v>
      </c>
      <c r="D126" s="29" t="s">
        <v>1</v>
      </c>
      <c r="E126" s="357"/>
      <c r="F126" s="358">
        <f>'App 6 - Residual Waste'!F126</f>
        <v>2450.44</v>
      </c>
      <c r="G126" s="359">
        <f t="shared" si="22"/>
        <v>386.26103404791928</v>
      </c>
      <c r="H126" s="360">
        <f t="shared" si="23"/>
        <v>205.84176073027126</v>
      </c>
      <c r="I126" s="361"/>
      <c r="J126" s="362"/>
      <c r="K126" s="363">
        <f>'App 4 - Recyclables'!F127</f>
        <v>0</v>
      </c>
      <c r="L126" s="364"/>
      <c r="M126" s="364"/>
      <c r="N126" s="357"/>
      <c r="O126" s="365">
        <f>'App 5 - Organics'!F126</f>
        <v>0</v>
      </c>
      <c r="P126" s="366"/>
      <c r="Q126" s="367"/>
      <c r="R126" s="368">
        <f>'App 5 - Organics'!J126</f>
        <v>0</v>
      </c>
      <c r="S126" s="369"/>
      <c r="T126" s="370"/>
      <c r="V126" s="371">
        <f>'App 1 - Services'!G126</f>
        <v>4097</v>
      </c>
      <c r="W126" s="372">
        <f>'App 1 - Services'!M126</f>
        <v>122</v>
      </c>
      <c r="X126" s="373">
        <f>'App 1 - Services'!N126</f>
        <v>0</v>
      </c>
      <c r="Y126" s="374">
        <v>0</v>
      </c>
      <c r="Z126" s="368">
        <v>0</v>
      </c>
      <c r="AA126" s="2">
        <v>1</v>
      </c>
      <c r="AB126" s="375">
        <f>'App 1 - Services'!F126</f>
        <v>7688</v>
      </c>
      <c r="AC126" s="372">
        <f t="shared" si="31"/>
        <v>228.93238955333169</v>
      </c>
      <c r="AD126" s="373">
        <f t="shared" si="32"/>
        <v>0</v>
      </c>
      <c r="AE126" s="374">
        <f t="shared" si="33"/>
        <v>0</v>
      </c>
      <c r="AF126" s="368">
        <f t="shared" si="34"/>
        <v>0</v>
      </c>
      <c r="AG126" s="376"/>
      <c r="AH126" s="377">
        <f t="shared" si="24"/>
        <v>0</v>
      </c>
      <c r="AI126" s="377">
        <f t="shared" si="25"/>
        <v>0</v>
      </c>
      <c r="AJ126" s="377">
        <f t="shared" si="26"/>
        <v>0</v>
      </c>
      <c r="AK126" s="369"/>
      <c r="AL126" s="370"/>
    </row>
    <row r="127" spans="1:38" x14ac:dyDescent="0.2">
      <c r="A127" s="8">
        <v>18250</v>
      </c>
      <c r="B127" s="8" t="s">
        <v>63</v>
      </c>
      <c r="C127" s="8" t="s">
        <v>24</v>
      </c>
      <c r="D127" s="29" t="s">
        <v>2</v>
      </c>
      <c r="E127" s="357"/>
      <c r="F127" s="358">
        <f>'App 6 - Residual Waste'!F127</f>
        <v>14346.58</v>
      </c>
      <c r="G127" s="359">
        <f t="shared" si="22"/>
        <v>15.110124827798304</v>
      </c>
      <c r="H127" s="360">
        <f t="shared" si="23"/>
        <v>5.9756338999114522</v>
      </c>
      <c r="I127" s="361"/>
      <c r="J127" s="362"/>
      <c r="K127" s="363">
        <f>'App 4 - Recyclables'!F128</f>
        <v>5621.41</v>
      </c>
      <c r="L127" s="364">
        <f t="shared" si="27"/>
        <v>5.7760225722129981</v>
      </c>
      <c r="M127" s="364">
        <f t="shared" si="28"/>
        <v>2.2842561979151408</v>
      </c>
      <c r="N127" s="357"/>
      <c r="O127" s="365">
        <f>'App 5 - Organics'!F127</f>
        <v>6989.84</v>
      </c>
      <c r="P127" s="366">
        <f t="shared" si="29"/>
        <v>8.0241165234001919</v>
      </c>
      <c r="Q127" s="367">
        <f t="shared" si="30"/>
        <v>3.173314797893465</v>
      </c>
      <c r="R127" s="368">
        <f>'App 5 - Organics'!J127</f>
        <v>0</v>
      </c>
      <c r="S127" s="369"/>
      <c r="T127" s="370"/>
      <c r="V127" s="371">
        <f>'App 1 - Services'!G127</f>
        <v>30797</v>
      </c>
      <c r="W127" s="372">
        <f>'App 1 - Services'!M127</f>
        <v>18259</v>
      </c>
      <c r="X127" s="373">
        <f>'App 1 - Services'!N127</f>
        <v>18716</v>
      </c>
      <c r="Y127" s="374">
        <v>16752</v>
      </c>
      <c r="Z127" s="368">
        <v>0</v>
      </c>
      <c r="AB127" s="375">
        <f>'App 1 - Services'!F127</f>
        <v>77874</v>
      </c>
      <c r="AC127" s="372">
        <f t="shared" si="31"/>
        <v>46170.125856414583</v>
      </c>
      <c r="AD127" s="373">
        <f t="shared" si="32"/>
        <v>47325.706529856805</v>
      </c>
      <c r="AE127" s="374">
        <f t="shared" si="33"/>
        <v>42359.491119264865</v>
      </c>
      <c r="AF127" s="368">
        <f t="shared" si="34"/>
        <v>0</v>
      </c>
      <c r="AG127" s="376"/>
      <c r="AH127" s="377">
        <f t="shared" si="24"/>
        <v>16752</v>
      </c>
      <c r="AI127" s="377">
        <f t="shared" si="25"/>
        <v>42359.491119264865</v>
      </c>
      <c r="AJ127" s="377">
        <f t="shared" si="26"/>
        <v>6989.84</v>
      </c>
      <c r="AK127" s="369">
        <f>(AJ127*1000)/AE127/52</f>
        <v>3.173314797893465</v>
      </c>
      <c r="AL127" s="370"/>
    </row>
    <row r="128" spans="1:38" x14ac:dyDescent="0.2">
      <c r="A128" s="8">
        <v>18350</v>
      </c>
      <c r="B128" s="8" t="s">
        <v>64</v>
      </c>
      <c r="C128" s="8" t="s">
        <v>67</v>
      </c>
      <c r="D128" s="29" t="s">
        <v>2</v>
      </c>
      <c r="E128" s="357"/>
      <c r="F128" s="358">
        <f>'App 6 - Residual Waste'!F128</f>
        <v>8097</v>
      </c>
      <c r="G128" s="359">
        <f t="shared" si="22"/>
        <v>7.5842159885801212</v>
      </c>
      <c r="H128" s="360">
        <f t="shared" si="23"/>
        <v>3.0994336895091785</v>
      </c>
      <c r="I128" s="361"/>
      <c r="J128" s="362"/>
      <c r="K128" s="363">
        <f>'App 4 - Recyclables'!F129</f>
        <v>4221</v>
      </c>
      <c r="L128" s="364">
        <f t="shared" si="27"/>
        <v>3.9536835479556243</v>
      </c>
      <c r="M128" s="364">
        <f t="shared" si="28"/>
        <v>1.6157477588512092</v>
      </c>
      <c r="N128" s="357"/>
      <c r="O128" s="365">
        <f>'App 5 - Organics'!F128</f>
        <v>7003</v>
      </c>
      <c r="P128" s="366">
        <f t="shared" si="29"/>
        <v>6.5172801453289253</v>
      </c>
      <c r="Q128" s="367">
        <f t="shared" si="30"/>
        <v>2.6634101239755785</v>
      </c>
      <c r="R128" s="368">
        <f>'App 5 - Organics'!J128</f>
        <v>0</v>
      </c>
      <c r="S128" s="369"/>
      <c r="T128" s="370"/>
      <c r="V128" s="371">
        <f>'App 1 - Services'!G128</f>
        <v>21704</v>
      </c>
      <c r="W128" s="372">
        <f>'App 1 - Services'!M128</f>
        <v>20531</v>
      </c>
      <c r="X128" s="373">
        <f>'App 1 - Services'!N128</f>
        <v>20531</v>
      </c>
      <c r="Y128" s="374">
        <v>20664</v>
      </c>
      <c r="Z128" s="368">
        <v>0</v>
      </c>
      <c r="AB128" s="375">
        <f>'App 1 - Services'!F128</f>
        <v>53109</v>
      </c>
      <c r="AC128" s="372">
        <f t="shared" si="31"/>
        <v>50238.706183192036</v>
      </c>
      <c r="AD128" s="373">
        <f t="shared" si="32"/>
        <v>50238.706183192036</v>
      </c>
      <c r="AE128" s="374">
        <f t="shared" si="33"/>
        <v>50564.15296719499</v>
      </c>
      <c r="AF128" s="368">
        <f t="shared" si="34"/>
        <v>0</v>
      </c>
      <c r="AG128" s="376"/>
      <c r="AH128" s="377">
        <f t="shared" si="24"/>
        <v>20664</v>
      </c>
      <c r="AI128" s="377">
        <f t="shared" si="25"/>
        <v>50564.15296719499</v>
      </c>
      <c r="AJ128" s="377">
        <f t="shared" si="26"/>
        <v>7003</v>
      </c>
      <c r="AK128" s="369">
        <f>(AJ128*1000)/AE128/52</f>
        <v>2.6634101239755785</v>
      </c>
      <c r="AL128" s="370"/>
    </row>
    <row r="129" spans="1:38" x14ac:dyDescent="0.2">
      <c r="A129" s="8">
        <v>18400</v>
      </c>
      <c r="B129" s="8" t="s">
        <v>170</v>
      </c>
      <c r="C129" s="8" t="s">
        <v>182</v>
      </c>
      <c r="D129" s="29" t="s">
        <v>3</v>
      </c>
      <c r="E129" s="357"/>
      <c r="F129" s="358">
        <f>'App 6 - Residual Waste'!F129</f>
        <v>12065</v>
      </c>
      <c r="G129" s="359">
        <f t="shared" si="22"/>
        <v>12.234720036344166</v>
      </c>
      <c r="H129" s="360">
        <f t="shared" si="23"/>
        <v>4.7232865483269109</v>
      </c>
      <c r="I129" s="361"/>
      <c r="J129" s="362"/>
      <c r="K129" s="363">
        <f>'App 4 - Recyclables'!F130</f>
        <v>4096</v>
      </c>
      <c r="L129" s="364">
        <f t="shared" si="27"/>
        <v>4.1907443482246629</v>
      </c>
      <c r="M129" s="364">
        <f t="shared" si="28"/>
        <v>1.6178618185497291</v>
      </c>
      <c r="N129" s="357"/>
      <c r="O129" s="365">
        <f>'App 5 - Organics'!F129</f>
        <v>5460</v>
      </c>
      <c r="P129" s="366">
        <f t="shared" si="29"/>
        <v>7.9521357164495612</v>
      </c>
      <c r="Q129" s="367">
        <f t="shared" si="30"/>
        <v>3.0699693616527974</v>
      </c>
      <c r="R129" s="368">
        <f>'App 5 - Organics'!J129</f>
        <v>0</v>
      </c>
      <c r="S129" s="369"/>
      <c r="T129" s="370"/>
      <c r="V129" s="371">
        <f>'App 1 - Services'!G129</f>
        <v>22243</v>
      </c>
      <c r="W129" s="372">
        <f>'App 1 - Services'!M129</f>
        <v>18964</v>
      </c>
      <c r="X129" s="373">
        <f>'App 1 - Services'!N129</f>
        <v>18796</v>
      </c>
      <c r="Y129" s="374">
        <v>13204</v>
      </c>
      <c r="Z129" s="368">
        <v>0</v>
      </c>
      <c r="AB129" s="375">
        <f>'App 1 - Services'!F129</f>
        <v>57616</v>
      </c>
      <c r="AC129" s="372">
        <f t="shared" si="31"/>
        <v>49122.412624196375</v>
      </c>
      <c r="AD129" s="373">
        <f t="shared" si="32"/>
        <v>48687.242548217415</v>
      </c>
      <c r="AE129" s="374">
        <f t="shared" si="33"/>
        <v>34202.295733489191</v>
      </c>
      <c r="AF129" s="368">
        <f t="shared" si="34"/>
        <v>0</v>
      </c>
      <c r="AG129" s="376"/>
      <c r="AH129" s="377">
        <f t="shared" si="24"/>
        <v>13204</v>
      </c>
      <c r="AI129" s="377">
        <f t="shared" si="25"/>
        <v>34202.295733489191</v>
      </c>
      <c r="AJ129" s="377">
        <f t="shared" si="26"/>
        <v>5460</v>
      </c>
      <c r="AK129" s="369">
        <f>(AJ129*1000)/AE129/52</f>
        <v>3.0699693616527974</v>
      </c>
      <c r="AL129" s="370"/>
    </row>
    <row r="130" spans="1:38" x14ac:dyDescent="0.2">
      <c r="A130" s="8">
        <v>18450</v>
      </c>
      <c r="B130" s="8" t="s">
        <v>171</v>
      </c>
      <c r="C130" s="8" t="s">
        <v>37</v>
      </c>
      <c r="D130" s="29" t="s">
        <v>2</v>
      </c>
      <c r="E130" s="357"/>
      <c r="F130" s="358">
        <f>'App 6 - Residual Waste'!F130</f>
        <v>38049.279999999999</v>
      </c>
      <c r="G130" s="359">
        <f t="shared" si="22"/>
        <v>8.3958706980553863</v>
      </c>
      <c r="H130" s="360">
        <f t="shared" si="23"/>
        <v>4.1099503664909509</v>
      </c>
      <c r="I130" s="361"/>
      <c r="J130" s="362"/>
      <c r="K130" s="363">
        <f>'App 4 - Recyclables'!F131</f>
        <v>14876.26</v>
      </c>
      <c r="L130" s="364">
        <f t="shared" si="27"/>
        <v>3.2825629139540471</v>
      </c>
      <c r="M130" s="364">
        <f t="shared" si="28"/>
        <v>1.606881660809736</v>
      </c>
      <c r="N130" s="357"/>
      <c r="O130" s="365">
        <f>'App 5 - Organics'!F130</f>
        <v>0</v>
      </c>
      <c r="P130" s="366"/>
      <c r="Q130" s="367"/>
      <c r="R130" s="368">
        <f>'App 5 - Organics'!J130</f>
        <v>31759.13</v>
      </c>
      <c r="S130" s="369">
        <f t="shared" si="35"/>
        <v>7.0078999908206345</v>
      </c>
      <c r="T130" s="370">
        <f t="shared" si="36"/>
        <v>3.4305103272107584</v>
      </c>
      <c r="V130" s="371">
        <f>'App 1 - Services'!G130</f>
        <v>107274</v>
      </c>
      <c r="W130" s="372">
        <f>'App 1 - Services'!M130</f>
        <v>87152</v>
      </c>
      <c r="X130" s="373">
        <f>'App 1 - Services'!N130</f>
        <v>87152</v>
      </c>
      <c r="Y130" s="374">
        <v>0</v>
      </c>
      <c r="Z130" s="368">
        <v>87152</v>
      </c>
      <c r="AB130" s="375">
        <f>'App 1 - Services'!F130</f>
        <v>219141</v>
      </c>
      <c r="AC130" s="372">
        <f t="shared" si="31"/>
        <v>178035.46462330109</v>
      </c>
      <c r="AD130" s="373">
        <f t="shared" si="32"/>
        <v>178035.46462330109</v>
      </c>
      <c r="AE130" s="374">
        <f t="shared" si="33"/>
        <v>0</v>
      </c>
      <c r="AF130" s="368">
        <f t="shared" si="34"/>
        <v>178035.46462330109</v>
      </c>
      <c r="AG130" s="376"/>
      <c r="AH130" s="377">
        <f t="shared" si="24"/>
        <v>87152</v>
      </c>
      <c r="AI130" s="377">
        <f t="shared" si="25"/>
        <v>178035.46462330109</v>
      </c>
      <c r="AJ130" s="377">
        <f t="shared" si="26"/>
        <v>31759.13</v>
      </c>
      <c r="AK130" s="369" t="s">
        <v>419</v>
      </c>
      <c r="AL130" s="370"/>
    </row>
    <row r="131" spans="1:38" x14ac:dyDescent="0.2">
      <c r="A131" s="8">
        <v>18500</v>
      </c>
      <c r="B131" s="8" t="s">
        <v>65</v>
      </c>
      <c r="C131" s="8" t="s">
        <v>17</v>
      </c>
      <c r="D131" s="29" t="s">
        <v>2</v>
      </c>
      <c r="E131" s="357"/>
      <c r="F131" s="358">
        <f>'App 6 - Residual Waste'!F131</f>
        <v>10358.17</v>
      </c>
      <c r="G131" s="359">
        <f t="shared" si="22"/>
        <v>8.4695597994420222</v>
      </c>
      <c r="H131" s="360">
        <f t="shared" si="23"/>
        <v>4.0074684429741865</v>
      </c>
      <c r="I131" s="361"/>
      <c r="J131" s="362"/>
      <c r="K131" s="363">
        <f>'App 4 - Recyclables'!F132</f>
        <v>5266.17</v>
      </c>
      <c r="L131" s="364" t="s">
        <v>419</v>
      </c>
      <c r="M131" s="364" t="s">
        <v>419</v>
      </c>
      <c r="N131" s="357"/>
      <c r="O131" s="365">
        <f>'App 5 - Organics'!F131</f>
        <v>0</v>
      </c>
      <c r="P131" s="366"/>
      <c r="Q131" s="367"/>
      <c r="R131" s="368">
        <f>'App 5 - Organics'!J131</f>
        <v>4175.29</v>
      </c>
      <c r="S131" s="369">
        <f t="shared" si="35"/>
        <v>80.294038461538463</v>
      </c>
      <c r="T131" s="370">
        <f t="shared" si="36"/>
        <v>37.992036530017735</v>
      </c>
      <c r="V131" s="371">
        <f>'App 1 - Services'!G131</f>
        <v>25863</v>
      </c>
      <c r="W131" s="372">
        <f>'App 1 - Services'!M131</f>
        <v>23519</v>
      </c>
      <c r="X131" s="373" t="str">
        <f>'App 1 - Services'!N131</f>
        <v>-</v>
      </c>
      <c r="Y131" s="374">
        <v>0</v>
      </c>
      <c r="Z131" s="368">
        <v>1000</v>
      </c>
      <c r="AB131" s="375">
        <f>'App 1 - Services'!F131</f>
        <v>54660</v>
      </c>
      <c r="AC131" s="372">
        <f t="shared" si="31"/>
        <v>49706.087460851406</v>
      </c>
      <c r="AD131" s="373"/>
      <c r="AE131" s="374">
        <f t="shared" si="33"/>
        <v>0</v>
      </c>
      <c r="AF131" s="368">
        <f t="shared" si="34"/>
        <v>2113.4439160190232</v>
      </c>
      <c r="AG131" s="376" t="s">
        <v>13</v>
      </c>
      <c r="AH131" s="377">
        <f t="shared" si="24"/>
        <v>1000</v>
      </c>
      <c r="AI131" s="377">
        <f t="shared" si="25"/>
        <v>2113.4439160190232</v>
      </c>
      <c r="AJ131" s="377">
        <f t="shared" si="26"/>
        <v>4175.29</v>
      </c>
      <c r="AK131" s="369"/>
      <c r="AL131" s="370">
        <f>(AJ131*1000)/AF131/52</f>
        <v>37.992036530017735</v>
      </c>
    </row>
    <row r="132" spans="1:38" x14ac:dyDescent="0.2">
      <c r="A132" s="8">
        <v>18710</v>
      </c>
      <c r="B132" s="8" t="s">
        <v>172</v>
      </c>
      <c r="C132" s="8" t="s">
        <v>67</v>
      </c>
      <c r="D132" s="29" t="s">
        <v>1</v>
      </c>
      <c r="E132" s="357"/>
      <c r="F132" s="358">
        <f>'App 6 - Residual Waste'!F132</f>
        <v>1386.32</v>
      </c>
      <c r="G132" s="359">
        <f t="shared" si="22"/>
        <v>6.4163658243080626</v>
      </c>
      <c r="H132" s="360">
        <f t="shared" si="23"/>
        <v>3.0248004821464858</v>
      </c>
      <c r="I132" s="361"/>
      <c r="J132" s="362"/>
      <c r="K132" s="363">
        <f>'App 4 - Recyclables'!F133</f>
        <v>395.1</v>
      </c>
      <c r="L132" s="364">
        <f t="shared" si="27"/>
        <v>1.8286587059150237</v>
      </c>
      <c r="M132" s="364">
        <f t="shared" si="28"/>
        <v>0.86206551914137886</v>
      </c>
      <c r="N132" s="357"/>
      <c r="O132" s="365">
        <f>'App 5 - Organics'!F132</f>
        <v>0</v>
      </c>
      <c r="P132" s="366"/>
      <c r="Q132" s="367"/>
      <c r="R132" s="368">
        <f>'App 5 - Organics'!J132</f>
        <v>0</v>
      </c>
      <c r="S132" s="369"/>
      <c r="T132" s="370"/>
      <c r="V132" s="371">
        <f>'App 1 - Services'!G132</f>
        <v>8239</v>
      </c>
      <c r="W132" s="372">
        <f>'App 1 - Services'!M132</f>
        <v>4155</v>
      </c>
      <c r="X132" s="373">
        <f>'App 1 - Services'!N132</f>
        <v>4155</v>
      </c>
      <c r="Y132" s="374">
        <v>0</v>
      </c>
      <c r="Z132" s="368">
        <v>0</v>
      </c>
      <c r="AA132" s="2">
        <v>1</v>
      </c>
      <c r="AB132" s="375">
        <f>'App 1 - Services'!F132</f>
        <v>17477</v>
      </c>
      <c r="AC132" s="372">
        <f t="shared" si="31"/>
        <v>8813.8044665614761</v>
      </c>
      <c r="AD132" s="373">
        <f t="shared" si="32"/>
        <v>8813.8044665614761</v>
      </c>
      <c r="AE132" s="374">
        <f t="shared" si="33"/>
        <v>0</v>
      </c>
      <c r="AF132" s="368">
        <f t="shared" si="34"/>
        <v>0</v>
      </c>
      <c r="AG132" s="376"/>
      <c r="AH132" s="377">
        <f t="shared" si="24"/>
        <v>0</v>
      </c>
      <c r="AI132" s="377">
        <f t="shared" si="25"/>
        <v>0</v>
      </c>
      <c r="AJ132" s="377">
        <f t="shared" si="26"/>
        <v>0</v>
      </c>
      <c r="AK132" s="369"/>
      <c r="AL132" s="370"/>
    </row>
    <row r="133" spans="1:38" x14ac:dyDescent="0.2">
      <c r="A133" s="385"/>
      <c r="B133" s="385"/>
      <c r="C133" s="385"/>
      <c r="D133" s="385"/>
      <c r="E133" s="385"/>
      <c r="F133" s="385"/>
      <c r="G133" s="385"/>
      <c r="H133" s="385"/>
      <c r="I133" s="386"/>
      <c r="J133" s="385"/>
      <c r="K133" s="208"/>
      <c r="L133" s="385"/>
      <c r="M133" s="385"/>
      <c r="N133" s="385"/>
      <c r="O133" s="385"/>
      <c r="P133" s="387" t="s">
        <v>331</v>
      </c>
      <c r="Q133" s="388">
        <f>(O134+R134)*1000/(Y134+Z134)/52</f>
        <v>6.2614437789910022</v>
      </c>
      <c r="R133" s="385"/>
      <c r="S133" s="387" t="s">
        <v>331</v>
      </c>
      <c r="T133" s="388">
        <f>(O134+R134)*1000/(AE134+AF134)/52</f>
        <v>2.592122115269476</v>
      </c>
      <c r="U133" s="571">
        <f t="shared" ref="U133:Z133" si="44">COUNTIF(U5:U132,"&gt;0")</f>
        <v>4</v>
      </c>
      <c r="V133" s="389">
        <f t="shared" si="44"/>
        <v>128</v>
      </c>
      <c r="W133" s="390">
        <f t="shared" si="44"/>
        <v>128</v>
      </c>
      <c r="X133" s="391">
        <f t="shared" si="44"/>
        <v>111</v>
      </c>
      <c r="Y133" s="392">
        <f t="shared" si="44"/>
        <v>42</v>
      </c>
      <c r="Z133" s="561">
        <f t="shared" si="44"/>
        <v>45</v>
      </c>
      <c r="AA133" s="2">
        <f>SUM(AA5:AA132)</f>
        <v>44</v>
      </c>
      <c r="AB133" s="393"/>
      <c r="AC133" s="390">
        <f>COUNTIF(AC5:AC132,"&gt;0")</f>
        <v>128</v>
      </c>
      <c r="AD133" s="391">
        <f>COUNTIF(AD5:AD132,"&gt;0")</f>
        <v>111</v>
      </c>
      <c r="AE133" s="392">
        <f>COUNTIF(AE5:AE132,"&gt;0")</f>
        <v>42</v>
      </c>
      <c r="AF133" s="561">
        <f>COUNTIF(AF5:AF132,"&gt;0")</f>
        <v>45</v>
      </c>
      <c r="AG133" s="394">
        <f>COUNTIF(AG5:AG132,"F")</f>
        <v>35</v>
      </c>
    </row>
    <row r="134" spans="1:38" x14ac:dyDescent="0.2">
      <c r="A134" s="778" t="s">
        <v>0</v>
      </c>
      <c r="B134" s="778"/>
      <c r="C134" s="778"/>
      <c r="D134" s="395"/>
      <c r="E134" s="329"/>
      <c r="F134" s="396">
        <f>SUM(F5:F132)</f>
        <v>1740950.0499999998</v>
      </c>
      <c r="G134" s="378"/>
      <c r="H134" s="378"/>
      <c r="I134" s="397"/>
      <c r="K134" s="399">
        <f>SUM(K5:K132)</f>
        <v>538761.1</v>
      </c>
      <c r="L134" s="378"/>
      <c r="M134" s="400"/>
      <c r="N134" s="329"/>
      <c r="O134" s="401">
        <f>SUM(O5:O132)</f>
        <v>426414.92999999993</v>
      </c>
      <c r="P134" s="385"/>
      <c r="Q134" s="385"/>
      <c r="R134" s="402">
        <f>SUM(R5:R132)</f>
        <v>290100.33999999997</v>
      </c>
      <c r="S134" s="378"/>
      <c r="T134" s="400"/>
      <c r="V134" s="403">
        <f>SUM(V5:V132)</f>
        <v>3512643</v>
      </c>
      <c r="W134" s="404">
        <f>SUM(W5:W132)</f>
        <v>3033249</v>
      </c>
      <c r="X134" s="405">
        <f>SUM(X5:X132)</f>
        <v>2947854</v>
      </c>
      <c r="Y134" s="406">
        <f>SUM(Y5:Y132)</f>
        <v>1447520</v>
      </c>
      <c r="Z134" s="560">
        <f>SUM(Z5:Z132)</f>
        <v>753113</v>
      </c>
      <c r="AB134" s="407">
        <f>SUM(AB5:AB132)</f>
        <v>8341272</v>
      </c>
      <c r="AC134" s="404">
        <f>SUM(AC5:AC132)</f>
        <v>7344326.6929176291</v>
      </c>
      <c r="AD134" s="405">
        <f>SUM(AD5:AD132)</f>
        <v>7074240.6206235075</v>
      </c>
      <c r="AE134" s="406">
        <f>SUM(AE5:AE132)</f>
        <v>3620793.0510797258</v>
      </c>
      <c r="AF134" s="560">
        <f>SUM(AF5:AF132)</f>
        <v>1694982.670489561</v>
      </c>
      <c r="AG134" s="394">
        <f>COUNTIF(AG5:AG132,"NF")</f>
        <v>4</v>
      </c>
      <c r="AH134" s="408">
        <f>SUM(AH5:AH132)</f>
        <v>2200633</v>
      </c>
      <c r="AI134" s="408">
        <f>SUM(AI5:AI132)</f>
        <v>5315775.7215692857</v>
      </c>
      <c r="AJ134" s="408">
        <f>SUM(AJ5:AJ132)</f>
        <v>716515.27000000014</v>
      </c>
    </row>
    <row r="135" spans="1:38" ht="5.25" customHeight="1" x14ac:dyDescent="0.2">
      <c r="A135" s="409"/>
      <c r="B135" s="409"/>
      <c r="C135" s="409"/>
      <c r="D135" s="409"/>
      <c r="E135" s="409"/>
      <c r="F135" s="409"/>
      <c r="G135" s="409"/>
      <c r="H135" s="409"/>
      <c r="I135" s="410"/>
      <c r="J135" s="409"/>
      <c r="K135" s="409"/>
      <c r="L135" s="409"/>
      <c r="M135" s="409"/>
      <c r="N135" s="409"/>
      <c r="O135" s="409"/>
      <c r="P135" s="409"/>
      <c r="Q135" s="409"/>
      <c r="R135" s="409"/>
      <c r="S135" s="409"/>
      <c r="T135" s="409"/>
      <c r="AG135" s="411"/>
    </row>
    <row r="136" spans="1:38" x14ac:dyDescent="0.2">
      <c r="A136" s="764" t="s">
        <v>332</v>
      </c>
      <c r="B136" s="764"/>
      <c r="C136" s="764"/>
      <c r="D136" s="412"/>
      <c r="E136" s="413"/>
      <c r="F136" s="414"/>
      <c r="G136" s="415">
        <f>((F134*1000)/W134)/52</f>
        <v>11.037606425930134</v>
      </c>
      <c r="H136" s="416">
        <f>((F134*1000)/AC134)/52</f>
        <v>4.5585946886229625</v>
      </c>
      <c r="I136" s="417"/>
      <c r="J136" s="418"/>
      <c r="K136" s="414"/>
      <c r="L136" s="420">
        <f>((K134*1000)/X134)/52</f>
        <v>3.5146891211760778</v>
      </c>
      <c r="M136" s="420">
        <f>((K134*1000)/AD134)/52</f>
        <v>1.4645798666235086</v>
      </c>
      <c r="N136" s="413"/>
      <c r="O136" s="421"/>
      <c r="P136" s="422">
        <f>((O134*1000)/Y134)/52</f>
        <v>5.6650596298390452</v>
      </c>
      <c r="Q136" s="422">
        <f>((O134*1000)/AE134)/52</f>
        <v>2.2647765281529351</v>
      </c>
      <c r="R136" s="423"/>
      <c r="S136" s="425">
        <f>((R134*1000)/Z134)/52</f>
        <v>7.4077232663726313</v>
      </c>
      <c r="T136" s="424">
        <f>((R134*1000)/AF134)/52</f>
        <v>3.2913921713998135</v>
      </c>
      <c r="W136" s="415">
        <f>(F134*1000)/W134/52</f>
        <v>11.037606425930134</v>
      </c>
      <c r="X136" s="419">
        <f>(K134*1000)/X134/52</f>
        <v>3.5146891211760778</v>
      </c>
      <c r="Y136" s="422">
        <f>(O134*1000)/Y134/52</f>
        <v>5.6650596298390452</v>
      </c>
      <c r="Z136" s="424">
        <f>(R134*1000)/Z134/52</f>
        <v>7.4077232663726313</v>
      </c>
      <c r="AC136" s="415">
        <f>(F134*1000)/AC134/52</f>
        <v>4.5585946886229625</v>
      </c>
      <c r="AD136" s="419">
        <f>(K134*1000)/AD134/52</f>
        <v>1.4645798666235086</v>
      </c>
      <c r="AE136" s="422">
        <f>(O134*1000)/AE134/52</f>
        <v>2.2647765281529351</v>
      </c>
      <c r="AF136" s="424">
        <f>(R134*1000)/AF134/52</f>
        <v>3.2913921713998135</v>
      </c>
      <c r="AH136" s="149"/>
      <c r="AI136" s="149"/>
      <c r="AK136" s="424">
        <f>((AJ134*1000)/AH134)/52</f>
        <v>6.261443778991004</v>
      </c>
      <c r="AL136" s="424">
        <f>((AJ134*1000)/AI134)/52</f>
        <v>2.5921221152694778</v>
      </c>
    </row>
    <row r="137" spans="1:38" x14ac:dyDescent="0.2">
      <c r="A137" s="426"/>
      <c r="B137" s="426"/>
      <c r="C137" s="426"/>
      <c r="D137" s="426"/>
      <c r="E137" s="426"/>
      <c r="F137" s="426"/>
      <c r="G137" s="426"/>
      <c r="H137" s="426"/>
      <c r="I137" s="427"/>
      <c r="J137" s="426"/>
      <c r="K137" s="426"/>
      <c r="L137" s="426"/>
      <c r="M137" s="426"/>
      <c r="N137" s="426"/>
      <c r="O137" s="426"/>
      <c r="P137" s="426"/>
      <c r="Q137" s="426"/>
      <c r="R137" s="426"/>
      <c r="S137" s="426"/>
      <c r="T137" s="426"/>
      <c r="W137" s="765" t="s">
        <v>520</v>
      </c>
      <c r="X137" s="765"/>
      <c r="Y137" s="765"/>
      <c r="Z137" s="765"/>
    </row>
    <row r="138" spans="1:38" x14ac:dyDescent="0.2">
      <c r="A138" s="764" t="s">
        <v>4</v>
      </c>
      <c r="B138" s="764"/>
      <c r="C138" s="764"/>
      <c r="D138" s="412"/>
      <c r="E138" s="428"/>
      <c r="F138" s="777" t="s">
        <v>307</v>
      </c>
      <c r="G138" s="777"/>
      <c r="H138" s="777"/>
      <c r="I138" s="777"/>
      <c r="J138" s="777"/>
      <c r="K138" s="777"/>
      <c r="L138" s="777"/>
      <c r="M138" s="777"/>
      <c r="N138" s="777"/>
      <c r="O138" s="777"/>
      <c r="P138" s="777"/>
      <c r="Q138" s="777"/>
      <c r="R138" s="777"/>
      <c r="S138" s="777"/>
      <c r="T138" s="777"/>
      <c r="V138" s="645"/>
      <c r="W138" s="429">
        <f>W134/V134</f>
        <v>0.86352327862524036</v>
      </c>
      <c r="X138" s="429">
        <f>X134/V134</f>
        <v>0.83921252458618767</v>
      </c>
      <c r="Y138" s="429">
        <f>Y134/V134</f>
        <v>0.41208856123437537</v>
      </c>
      <c r="Z138" s="429">
        <f>Z134/V134</f>
        <v>0.21440066639279881</v>
      </c>
      <c r="AH138" s="29" t="s">
        <v>331</v>
      </c>
      <c r="AI138" s="29" t="s">
        <v>331</v>
      </c>
      <c r="AJ138" s="29" t="s">
        <v>331</v>
      </c>
      <c r="AK138" s="29" t="s">
        <v>331</v>
      </c>
      <c r="AL138" s="29" t="s">
        <v>331</v>
      </c>
    </row>
    <row r="139" spans="1:38" x14ac:dyDescent="0.2">
      <c r="B139" s="275"/>
      <c r="C139" s="275" t="s">
        <v>458</v>
      </c>
      <c r="D139" s="275"/>
      <c r="E139" s="430"/>
      <c r="F139" s="431">
        <f>SUMIF($D$5:$D$132,"S",F$5:F$132)</f>
        <v>1366009.8800000001</v>
      </c>
      <c r="G139" s="416">
        <f>((F139*1000)/W139)/52</f>
        <v>11.262437194228282</v>
      </c>
      <c r="H139" s="416">
        <f>((F139*1000)/AC139)/52</f>
        <v>4.4574444913529669</v>
      </c>
      <c r="I139" s="417"/>
      <c r="J139" s="432"/>
      <c r="K139" s="433">
        <f>SUMIF($D$5:$D$132,"S",K$5:K$132)</f>
        <v>402592.37999999989</v>
      </c>
      <c r="L139" s="419">
        <f>((K139*1000)/X139)/52</f>
        <v>3.4281696310194416</v>
      </c>
      <c r="M139" s="419">
        <f>((K139*1000)/AD139)/52</f>
        <v>1.3730728737341484</v>
      </c>
      <c r="N139" s="430"/>
      <c r="O139" s="434">
        <f>SUMIF($D$5:$D$132,"S",O$5:O$132)</f>
        <v>366698.18000000005</v>
      </c>
      <c r="P139" s="388">
        <f>((O139*1000)/Y139)/52</f>
        <v>5.7758001247591633</v>
      </c>
      <c r="Q139" s="422">
        <f>((O139*1000)/AE139)/52</f>
        <v>2.2383128231168858</v>
      </c>
      <c r="R139" s="435">
        <f>SUMIF($D$5:$D$132,"S",R$5:R$132)</f>
        <v>142848.44000000003</v>
      </c>
      <c r="S139" s="425">
        <f>((R139*1000)/Z139)/52</f>
        <v>7.5834802444067986</v>
      </c>
      <c r="T139" s="424">
        <f>((R139*1000)/AF139)/52</f>
        <v>3.2048675947023875</v>
      </c>
      <c r="V139" s="403">
        <f>SUMIF($D$5:$D$132,"S",V$5:V$132)</f>
        <v>2566478</v>
      </c>
      <c r="W139" s="431">
        <f>SUMIF($D$5:$D$132,"S",W$5:W$132)</f>
        <v>2332481</v>
      </c>
      <c r="X139" s="436">
        <f>SUMIF($D$5:$D$132,"S",X$5:X$132)</f>
        <v>2258395</v>
      </c>
      <c r="Y139" s="434">
        <f>SUMIF($D$5:$D$132,"S",Y$5:Y$132)</f>
        <v>1220937</v>
      </c>
      <c r="Z139" s="435">
        <f>SUMIF($D$5:$D$132,"S",Z$5:Z$132)</f>
        <v>362246</v>
      </c>
      <c r="AB139" s="403">
        <f>SUMIF($D$5:$D$132,"S",AB$5:AB$132)</f>
        <v>6434099</v>
      </c>
      <c r="AC139" s="431">
        <f>SUMIF($D$5:$D$132,"S",AC$5:AC$132)</f>
        <v>5893381.4700757442</v>
      </c>
      <c r="AD139" s="436">
        <f>SUMIF($D$5:$D$132,"S",AD$5:AD$132)</f>
        <v>5638565.3681955803</v>
      </c>
      <c r="AE139" s="434">
        <f>SUMIF($D$5:$D$132,"S",AE$5:AE$132)</f>
        <v>3150537.3172563133</v>
      </c>
      <c r="AF139" s="435">
        <f>SUMIF($D$5:$D$132,"S",AF$5:AF$132)</f>
        <v>857160.33609509759</v>
      </c>
      <c r="AH139" s="434">
        <f>SUMIF($D$5:$D$132,"S",AH$5:AH$132)</f>
        <v>1583183</v>
      </c>
      <c r="AI139" s="434">
        <f>SUMIF($D$5:$D$132,"S",AI$5:AI$132)</f>
        <v>4007697.6533514108</v>
      </c>
      <c r="AJ139" s="435">
        <f>SUMIF($D$5:$D$132,"S",AJ$5:AJ$132)</f>
        <v>509546.62000000005</v>
      </c>
      <c r="AK139" s="424">
        <f>((AJ139*1000)/AH139)/52</f>
        <v>6.189413012607174</v>
      </c>
      <c r="AL139" s="424">
        <f>((AJ139*1000)/AI139)/52</f>
        <v>2.4450381014506259</v>
      </c>
    </row>
    <row r="140" spans="1:38" x14ac:dyDescent="0.2">
      <c r="B140" s="275"/>
      <c r="C140" s="275" t="s">
        <v>460</v>
      </c>
      <c r="D140" s="275"/>
      <c r="E140" s="437"/>
      <c r="F140" s="440">
        <f>SUMIF($D$5:$D$132,"R",F$5:F$132)</f>
        <v>147477.26999999996</v>
      </c>
      <c r="G140" s="416">
        <f>((F140*1000)/W140)/52</f>
        <v>9.5451454645480709</v>
      </c>
      <c r="H140" s="416">
        <f>((F140*1000)/AC140)/52</f>
        <v>4.3871841817390695</v>
      </c>
      <c r="I140" s="417"/>
      <c r="J140" s="432"/>
      <c r="K140" s="433">
        <f>SUMIF($D$5:$D$132,"R",K$5:K$132)</f>
        <v>67647.009999999995</v>
      </c>
      <c r="L140" s="419">
        <f>((K140*1000)/X140)/52</f>
        <v>4.0178392821760891</v>
      </c>
      <c r="M140" s="419">
        <f>((K140*1000)/AD140)/52</f>
        <v>1.8640471954609568</v>
      </c>
      <c r="N140" s="437"/>
      <c r="O140" s="441">
        <f>SUMIF($D$5:$D$132,"R",O$5:O$132)</f>
        <v>37040.520000000004</v>
      </c>
      <c r="P140" s="388">
        <f>((O140*1000)/Y140)/52</f>
        <v>4.2526175503889077</v>
      </c>
      <c r="Q140" s="422">
        <f>((O140*1000)/AE140)/52</f>
        <v>1.9901851891813416</v>
      </c>
      <c r="R140" s="442">
        <f>SUMIF($D$5:$D$132,"R",R$5:R$132)</f>
        <v>72125.09</v>
      </c>
      <c r="S140" s="425">
        <f>((R140*1000)/Z140)/52</f>
        <v>8.0004900675356989</v>
      </c>
      <c r="T140" s="424">
        <f>((R140*1000)/AF140)/52</f>
        <v>3.6647956751831714</v>
      </c>
      <c r="V140" s="403">
        <f>SUMIF($D$5:$D$132,"R",V$5:V$132)</f>
        <v>396778</v>
      </c>
      <c r="W140" s="440">
        <f>SUMIF($D$5:$D$132,"R",W$5:W$132)</f>
        <v>297125</v>
      </c>
      <c r="X140" s="436">
        <f>SUMIF($D$5:$D$132,"R",X$5:X$132)</f>
        <v>323782</v>
      </c>
      <c r="Y140" s="441">
        <f>SUMIF($D$5:$D$132,"R",Y$5:Y$132)</f>
        <v>167501</v>
      </c>
      <c r="Z140" s="435">
        <f>SUMIF($D$5:$D$132,"R",Z$5:Z$132)</f>
        <v>173367</v>
      </c>
      <c r="AB140" s="403">
        <f>SUMIF($D$5:$D$132,"R",AB$5:AB$132)</f>
        <v>851504</v>
      </c>
      <c r="AC140" s="440">
        <f>SUMIF($D$5:$D$132,"R",AC$5:AC$132)</f>
        <v>646451.39767750108</v>
      </c>
      <c r="AD140" s="436">
        <f>SUMIF($D$5:$D$132,"R",AD$5:AD$132)</f>
        <v>697892.22162899165</v>
      </c>
      <c r="AE140" s="441">
        <f>SUMIF($D$5:$D$132,"R",AE$5:AE$132)</f>
        <v>357915.28154256981</v>
      </c>
      <c r="AF140" s="435">
        <f>SUMIF($D$5:$D$132,"R",AF$5:AF$132)</f>
        <v>378471.56689550949</v>
      </c>
      <c r="AH140" s="441">
        <f>SUMIF($D$5:$D$132,"R",AH$5:AH$132)</f>
        <v>340868</v>
      </c>
      <c r="AI140" s="441">
        <f>SUMIF($D$5:$D$132,"R",AI$5:AI$132)</f>
        <v>736386.84843807912</v>
      </c>
      <c r="AJ140" s="442">
        <f>SUMIF($D$5:$D$132,"R",AJ$5:AJ$132)</f>
        <v>109165.61</v>
      </c>
      <c r="AK140" s="424">
        <f>((AJ140*1000)/AH140)/52</f>
        <v>6.1588023922637323</v>
      </c>
      <c r="AL140" s="424">
        <f>((AJ140*1000)/AI140)/52</f>
        <v>2.8508638608891204</v>
      </c>
    </row>
    <row r="141" spans="1:38" x14ac:dyDescent="0.2">
      <c r="B141" s="275"/>
      <c r="C141" s="275" t="s">
        <v>463</v>
      </c>
      <c r="D141" s="275"/>
      <c r="E141" s="443"/>
      <c r="F141" s="431">
        <f>SUMIF($D$5:$D$132,"N",F$5:F$132)</f>
        <v>227462.9</v>
      </c>
      <c r="G141" s="416">
        <f>((F141*1000)/W141)/52</f>
        <v>10.837018202871198</v>
      </c>
      <c r="H141" s="416">
        <f>((F141*1000)/AC141)/52</f>
        <v>5.4373152429948712</v>
      </c>
      <c r="I141" s="417"/>
      <c r="J141" s="432"/>
      <c r="K141" s="433">
        <f>SUMIF($D$5:$D$132,"N",K$5:K$132)</f>
        <v>68521.710000000006</v>
      </c>
      <c r="L141" s="419">
        <f>((K141*1000)/X141)/52</f>
        <v>3.6035222130669755</v>
      </c>
      <c r="M141" s="419">
        <f>((K141*1000)/AD141)/52</f>
        <v>1.7860605859703023</v>
      </c>
      <c r="N141" s="443"/>
      <c r="O141" s="441">
        <f>SUMIF($D$5:$D$132,"N",O$5:O$132)</f>
        <v>22676.23</v>
      </c>
      <c r="P141" s="388">
        <f>((O141*1000)/Y141)/52</f>
        <v>7.3809509859829756</v>
      </c>
      <c r="Q141" s="422">
        <f>((O141*1000)/AE141)/52</f>
        <v>3.8817837858056303</v>
      </c>
      <c r="R141" s="442">
        <f>SUMIF($D$5:$D$132,"N",R$5:R$132)</f>
        <v>75126.81</v>
      </c>
      <c r="S141" s="425">
        <f>((R141*1000)/Z141)/52</f>
        <v>6.6425119363395222</v>
      </c>
      <c r="T141" s="424">
        <f>((R141*1000)/AF141)/52</f>
        <v>3.1451919717476828</v>
      </c>
      <c r="V141" s="403">
        <f>SUMIF($D$5:$D$132,"N",V$5:V$132)</f>
        <v>549387</v>
      </c>
      <c r="W141" s="431">
        <f>SUMIF($D$5:$D$132,"N",W$5:W$132)</f>
        <v>403643</v>
      </c>
      <c r="X141" s="436">
        <f>SUMIF($D$5:$D$132,"N",X$5:X$132)</f>
        <v>365677</v>
      </c>
      <c r="Y141" s="441">
        <f>SUMIF($D$5:$D$132,"N",Y$5:Y$132)</f>
        <v>59082</v>
      </c>
      <c r="Z141" s="435">
        <f>SUMIF($D$5:$D$132,"N",Z$5:Z$132)</f>
        <v>217500</v>
      </c>
      <c r="AB141" s="403">
        <f>SUMIF($D$5:$D$132,"N",AB$5:AB$132)</f>
        <v>1055669</v>
      </c>
      <c r="AC141" s="431">
        <f>SUMIF($D$5:$D$132,"N",AC$5:AC$132)</f>
        <v>804493.82516438072</v>
      </c>
      <c r="AD141" s="436">
        <f>SUMIF($D$5:$D$132,"N",AD$5:AD$132)</f>
        <v>737783.03079893545</v>
      </c>
      <c r="AE141" s="441">
        <f>SUMIF($D$5:$D$132,"N",AE$5:AE$132)</f>
        <v>112340.45228084266</v>
      </c>
      <c r="AF141" s="435">
        <f>SUMIF($D$5:$D$132,"N",AF$5:AF$132)</f>
        <v>459350.76749895385</v>
      </c>
      <c r="AH141" s="441">
        <f>SUMIF($D$5:$D$132,"N",AH$5:AH$132)</f>
        <v>276582</v>
      </c>
      <c r="AI141" s="441">
        <f>SUMIF($D$5:$D$132,"N",AI$5:AI$132)</f>
        <v>571691.21977979655</v>
      </c>
      <c r="AJ141" s="442">
        <f>SUMIF($D$5:$D$132,"N",AJ$5:AJ$132)</f>
        <v>97803.040000000008</v>
      </c>
      <c r="AK141" s="424">
        <f>((AJ141*1000)/AH141)/52</f>
        <v>6.8002534232440741</v>
      </c>
      <c r="AL141" s="424">
        <f>((AJ141*1000)/AI141)/52</f>
        <v>3.2899362929382545</v>
      </c>
    </row>
    <row r="142" spans="1:38" ht="23.25" customHeight="1" x14ac:dyDescent="0.2">
      <c r="A142" s="444"/>
      <c r="B142" s="758"/>
      <c r="C142" s="758"/>
      <c r="D142" s="758"/>
      <c r="M142" s="665" t="s">
        <v>539</v>
      </c>
      <c r="Y142" s="638" t="s">
        <v>517</v>
      </c>
      <c r="AJ142" s="4"/>
    </row>
    <row r="143" spans="1:38" s="2" customFormat="1" ht="11.25" x14ac:dyDescent="0.2">
      <c r="A143" s="446"/>
      <c r="B143" s="275"/>
      <c r="C143" s="275" t="s">
        <v>458</v>
      </c>
      <c r="D143" s="447"/>
      <c r="E143" s="448"/>
      <c r="F143" s="449">
        <f>F139/$F$134</f>
        <v>0.78463473435093689</v>
      </c>
      <c r="G143" s="31">
        <f t="shared" ref="G143:H145" si="45">G139*52</f>
        <v>585.64673409987063</v>
      </c>
      <c r="H143" s="31">
        <f t="shared" si="45"/>
        <v>231.78711355035429</v>
      </c>
      <c r="I143" s="30"/>
      <c r="J143" s="450"/>
      <c r="K143" s="449">
        <f>K139/$K$134</f>
        <v>0.74725584308146953</v>
      </c>
      <c r="L143" s="31">
        <f t="shared" ref="L143:M145" si="46">L139*52</f>
        <v>178.26482081301097</v>
      </c>
      <c r="M143" s="31">
        <f t="shared" si="46"/>
        <v>71.399789434175716</v>
      </c>
      <c r="N143" s="448"/>
      <c r="O143" s="449">
        <f>O139/$O$134</f>
        <v>0.8599562402751707</v>
      </c>
      <c r="P143" s="31">
        <f t="shared" ref="P143:Q145" si="47">P139*52</f>
        <v>300.3416064874765</v>
      </c>
      <c r="Q143" s="31">
        <f t="shared" si="47"/>
        <v>116.39226680207807</v>
      </c>
      <c r="R143" s="449">
        <f>R139/$R$134</f>
        <v>0.4924104535692721</v>
      </c>
      <c r="S143" s="31">
        <f t="shared" ref="S143:T145" si="48">S139*52</f>
        <v>394.3409727091535</v>
      </c>
      <c r="T143" s="31">
        <f t="shared" si="48"/>
        <v>166.65311492452415</v>
      </c>
      <c r="U143" s="275"/>
      <c r="V143" s="275" t="s">
        <v>7</v>
      </c>
      <c r="W143" s="149">
        <f>W134/V134</f>
        <v>0.86352327862524036</v>
      </c>
      <c r="X143" s="149">
        <f>X134/V134</f>
        <v>0.83921252458618767</v>
      </c>
      <c r="Y143" s="149">
        <f>Y134/V134</f>
        <v>0.41208856123437537</v>
      </c>
      <c r="Z143" s="149">
        <f>Z134/V134</f>
        <v>0.21440066639279881</v>
      </c>
    </row>
    <row r="144" spans="1:38" s="2" customFormat="1" ht="11.25" x14ac:dyDescent="0.2">
      <c r="B144" s="275"/>
      <c r="C144" s="275" t="s">
        <v>460</v>
      </c>
      <c r="E144" s="448"/>
      <c r="F144" s="449">
        <f>F140/$F$134</f>
        <v>8.4710799140963272E-2</v>
      </c>
      <c r="G144" s="31">
        <f t="shared" si="45"/>
        <v>496.34756415649969</v>
      </c>
      <c r="H144" s="31">
        <f t="shared" si="45"/>
        <v>228.13357745043163</v>
      </c>
      <c r="I144" s="30"/>
      <c r="J144" s="450"/>
      <c r="K144" s="449">
        <f>K140/$K$134</f>
        <v>0.1255603086414368</v>
      </c>
      <c r="L144" s="31">
        <f t="shared" si="46"/>
        <v>208.92764267315664</v>
      </c>
      <c r="M144" s="31">
        <f t="shared" si="46"/>
        <v>96.930454163969756</v>
      </c>
      <c r="N144" s="448"/>
      <c r="O144" s="449">
        <f>O140/$O$134</f>
        <v>8.6864969760791472E-2</v>
      </c>
      <c r="P144" s="31">
        <f t="shared" si="47"/>
        <v>221.1361126202232</v>
      </c>
      <c r="Q144" s="31">
        <f t="shared" si="47"/>
        <v>103.48962983742976</v>
      </c>
      <c r="R144" s="449">
        <f>R140/$R$134</f>
        <v>0.2486211839668992</v>
      </c>
      <c r="S144" s="31">
        <f t="shared" si="48"/>
        <v>416.02548351185635</v>
      </c>
      <c r="T144" s="31">
        <f t="shared" si="48"/>
        <v>190.56937510952491</v>
      </c>
      <c r="U144" s="275"/>
      <c r="V144" s="275" t="s">
        <v>458</v>
      </c>
      <c r="W144" s="149">
        <f t="shared" ref="W144:Z146" si="49">W139/$V139</f>
        <v>0.90882563575452424</v>
      </c>
      <c r="X144" s="149">
        <f t="shared" si="49"/>
        <v>0.87995883853280643</v>
      </c>
      <c r="Y144" s="149">
        <f t="shared" si="49"/>
        <v>0.47572470911498171</v>
      </c>
      <c r="Z144" s="149">
        <f t="shared" si="49"/>
        <v>0.14114518028208306</v>
      </c>
    </row>
    <row r="145" spans="1:38" s="2" customFormat="1" ht="11.25" x14ac:dyDescent="0.2">
      <c r="B145" s="275"/>
      <c r="C145" s="275" t="s">
        <v>463</v>
      </c>
      <c r="E145" s="448"/>
      <c r="F145" s="449">
        <f>F141/$F$134</f>
        <v>0.1306544665081</v>
      </c>
      <c r="G145" s="31">
        <f t="shared" si="45"/>
        <v>563.52494654930229</v>
      </c>
      <c r="H145" s="31">
        <f t="shared" si="45"/>
        <v>282.74039263573331</v>
      </c>
      <c r="I145" s="30"/>
      <c r="J145" s="450"/>
      <c r="K145" s="449">
        <f>K141/$K$134</f>
        <v>0.12718384827709353</v>
      </c>
      <c r="L145" s="31">
        <f t="shared" si="46"/>
        <v>187.38315507948272</v>
      </c>
      <c r="M145" s="31">
        <f t="shared" si="46"/>
        <v>92.875150470455722</v>
      </c>
      <c r="N145" s="448"/>
      <c r="O145" s="449">
        <f>O141/$O$134</f>
        <v>5.317878996403809E-2</v>
      </c>
      <c r="P145" s="31">
        <f t="shared" si="47"/>
        <v>383.80945127111471</v>
      </c>
      <c r="Q145" s="31">
        <f t="shared" si="47"/>
        <v>201.85275686189277</v>
      </c>
      <c r="R145" s="449">
        <f>R141/$R$134</f>
        <v>0.25896836246382893</v>
      </c>
      <c r="S145" s="31">
        <f t="shared" si="48"/>
        <v>345.41062068965516</v>
      </c>
      <c r="T145" s="31">
        <f t="shared" si="48"/>
        <v>163.5499825308795</v>
      </c>
      <c r="U145" s="275"/>
      <c r="V145" s="275" t="s">
        <v>460</v>
      </c>
      <c r="W145" s="149">
        <f t="shared" si="49"/>
        <v>0.7488444419801501</v>
      </c>
      <c r="X145" s="149">
        <f t="shared" si="49"/>
        <v>0.81602810639702805</v>
      </c>
      <c r="Y145" s="149">
        <f t="shared" si="49"/>
        <v>0.42215294194738617</v>
      </c>
      <c r="Z145" s="149">
        <f t="shared" si="49"/>
        <v>0.4369370277585955</v>
      </c>
    </row>
    <row r="146" spans="1:38" s="2" customFormat="1" ht="11.25" x14ac:dyDescent="0.2">
      <c r="B146" s="275"/>
      <c r="C146" s="275" t="s">
        <v>7</v>
      </c>
      <c r="E146" s="448"/>
      <c r="G146" s="31">
        <f>G136*52</f>
        <v>573.95553414836695</v>
      </c>
      <c r="H146" s="31">
        <f>H136*52</f>
        <v>237.04692380839404</v>
      </c>
      <c r="I146" s="30"/>
      <c r="J146" s="450"/>
      <c r="L146" s="31">
        <f>L136*52</f>
        <v>182.76383430115604</v>
      </c>
      <c r="M146" s="31">
        <f>M136*52</f>
        <v>76.15815306442245</v>
      </c>
      <c r="N146" s="448"/>
      <c r="O146" s="30"/>
      <c r="P146" s="31">
        <f>P136*52</f>
        <v>294.58310075163035</v>
      </c>
      <c r="Q146" s="31">
        <f>Q136*52</f>
        <v>117.76837946395263</v>
      </c>
      <c r="R146" s="30"/>
      <c r="S146" s="31">
        <f>S136*52</f>
        <v>385.20160985137682</v>
      </c>
      <c r="T146" s="31">
        <f>T136*52</f>
        <v>171.1523929127903</v>
      </c>
      <c r="U146" s="275"/>
      <c r="V146" s="275" t="s">
        <v>463</v>
      </c>
      <c r="W146" s="149">
        <f t="shared" si="49"/>
        <v>0.7347152371643304</v>
      </c>
      <c r="X146" s="149">
        <f t="shared" si="49"/>
        <v>0.66560912435132247</v>
      </c>
      <c r="Y146" s="149">
        <f t="shared" si="49"/>
        <v>0.10754167827050877</v>
      </c>
      <c r="Z146" s="149">
        <f t="shared" si="49"/>
        <v>0.39589578930699126</v>
      </c>
    </row>
    <row r="147" spans="1:38" s="2" customFormat="1" ht="11.25" x14ac:dyDescent="0.2">
      <c r="AC147" s="4"/>
    </row>
    <row r="148" spans="1:38" s="2" customFormat="1" ht="11.25" x14ac:dyDescent="0.2">
      <c r="E148" s="448"/>
      <c r="I148" s="30"/>
      <c r="J148" s="450"/>
      <c r="L148" s="31"/>
      <c r="M148" s="31"/>
      <c r="N148" s="448"/>
      <c r="O148" s="30"/>
      <c r="P148" s="30"/>
      <c r="Q148" s="30"/>
      <c r="R148" s="30"/>
      <c r="V148" s="325"/>
      <c r="X148" s="149"/>
      <c r="Z148" s="149"/>
      <c r="AC148" s="149"/>
    </row>
    <row r="149" spans="1:38" x14ac:dyDescent="0.2">
      <c r="O149" s="275"/>
      <c r="P149" s="2"/>
      <c r="Q149" s="2"/>
      <c r="R149" s="2"/>
      <c r="S149" s="2"/>
      <c r="T149" s="2"/>
      <c r="V149" s="275" t="s">
        <v>7</v>
      </c>
      <c r="W149" s="2">
        <f>SUM(W150:W152)</f>
        <v>128</v>
      </c>
      <c r="X149" s="2">
        <f>SUM(X150:X152)</f>
        <v>111</v>
      </c>
      <c r="Y149" s="2">
        <f>SUM(Y150:Y152)</f>
        <v>42</v>
      </c>
      <c r="Z149" s="2">
        <f>SUM(Z150:Z152)</f>
        <v>45</v>
      </c>
    </row>
    <row r="150" spans="1:38" x14ac:dyDescent="0.2">
      <c r="O150" s="275"/>
      <c r="P150" s="2"/>
      <c r="Q150" s="2"/>
      <c r="R150" s="2"/>
      <c r="S150" s="2"/>
      <c r="T150" s="2"/>
      <c r="V150" s="275" t="s">
        <v>458</v>
      </c>
      <c r="W150" s="2">
        <f>COUNTIFS($D$5:$D$132,"S",W$5:W$132,"&gt;0")</f>
        <v>42</v>
      </c>
      <c r="X150" s="2">
        <f>COUNTIFS($D$5:$D$132,"S",X$5:X$132,"&gt;0")</f>
        <v>41</v>
      </c>
      <c r="Y150" s="2">
        <f>COUNTIFS($D$5:$D$132,"S",Y$5:Y$132,"&gt;0")</f>
        <v>29</v>
      </c>
      <c r="Z150" s="2">
        <f>COUNTIFS($D$5:$D$132,"S",Z$5:Z$132,"&gt;0")</f>
        <v>9</v>
      </c>
    </row>
    <row r="151" spans="1:38" x14ac:dyDescent="0.2">
      <c r="V151" s="275" t="s">
        <v>460</v>
      </c>
      <c r="W151" s="2">
        <f>COUNTIFS($D$5:$D$132,"R",W$5:W$132,"&gt;0")</f>
        <v>19</v>
      </c>
      <c r="X151" s="2">
        <f>COUNTIFS($D$5:$D$132,"R",X$5:X$132,"&gt;0")</f>
        <v>19</v>
      </c>
      <c r="Y151" s="2">
        <f>COUNTIFS($D$5:$D$132,"R",Y$5:Y$132,"&gt;0")</f>
        <v>5</v>
      </c>
      <c r="Z151" s="2">
        <f>COUNTIFS($D$5:$D$132,"R",Z$5:Z$132,"&gt;0")</f>
        <v>11</v>
      </c>
    </row>
    <row r="152" spans="1:38" x14ac:dyDescent="0.2">
      <c r="A152" s="631"/>
      <c r="B152" s="635" t="s">
        <v>466</v>
      </c>
      <c r="C152" s="631"/>
      <c r="D152" s="631"/>
      <c r="E152" s="632"/>
      <c r="F152" s="631"/>
      <c r="G152" s="631"/>
      <c r="H152" s="631"/>
      <c r="I152" s="633"/>
      <c r="J152" s="634"/>
      <c r="K152" s="631"/>
      <c r="L152" s="631"/>
      <c r="M152" s="631"/>
      <c r="N152" s="632"/>
      <c r="O152" s="633"/>
      <c r="P152" s="633"/>
      <c r="Q152" s="633"/>
      <c r="R152" s="633"/>
      <c r="S152" s="631"/>
      <c r="V152" s="275" t="s">
        <v>463</v>
      </c>
      <c r="W152" s="2">
        <f>COUNTIFS($D$5:$D$132,"N",W$5:W$132,"&gt;0")</f>
        <v>67</v>
      </c>
      <c r="X152" s="2">
        <f>COUNTIFS($D$5:$D$132,"N",X$5:X$132,"&gt;0")</f>
        <v>51</v>
      </c>
      <c r="Y152" s="2">
        <f>COUNTIFS($D$5:$D$132,"N",Y$5:Y$132,"&gt;0")</f>
        <v>8</v>
      </c>
      <c r="Z152" s="2">
        <f>COUNTIFS($D$5:$D$132,"N",Z$5:Z$132,"&gt;0")</f>
        <v>25</v>
      </c>
    </row>
    <row r="153" spans="1:38" x14ac:dyDescent="0.2">
      <c r="A153" s="631"/>
      <c r="B153" s="635"/>
      <c r="C153" s="631"/>
      <c r="D153" s="631"/>
      <c r="E153" s="632"/>
      <c r="F153" s="631"/>
      <c r="G153" s="631"/>
      <c r="H153" s="631"/>
      <c r="I153" s="633"/>
      <c r="J153" s="634"/>
      <c r="K153" s="631"/>
      <c r="L153" s="631"/>
      <c r="M153" s="631"/>
      <c r="N153" s="632"/>
      <c r="O153" s="633"/>
      <c r="P153" s="633"/>
      <c r="Q153" s="633"/>
      <c r="R153" s="633"/>
      <c r="S153" s="631"/>
      <c r="V153" s="275"/>
      <c r="W153" s="2"/>
      <c r="X153" s="2"/>
      <c r="Y153" s="2"/>
      <c r="Z153" s="2"/>
    </row>
    <row r="154" spans="1:38" x14ac:dyDescent="0.2">
      <c r="A154" s="778" t="s">
        <v>467</v>
      </c>
      <c r="B154" s="778"/>
      <c r="C154" s="778"/>
      <c r="D154" s="395"/>
      <c r="E154" s="329"/>
      <c r="F154" s="396">
        <v>1831255.3200000005</v>
      </c>
      <c r="G154" s="378"/>
      <c r="H154" s="378"/>
      <c r="I154" s="397"/>
      <c r="K154" s="399">
        <v>570978.80999999994</v>
      </c>
      <c r="L154" s="378"/>
      <c r="M154" s="400"/>
      <c r="N154" s="329"/>
      <c r="O154" s="401">
        <v>474208.51</v>
      </c>
      <c r="P154" s="385"/>
      <c r="Q154" s="385"/>
      <c r="R154" s="402">
        <v>335921.77999999997</v>
      </c>
      <c r="S154" s="378"/>
      <c r="T154" s="400"/>
      <c r="V154" s="403">
        <v>3415992</v>
      </c>
      <c r="W154" s="404">
        <v>3102704</v>
      </c>
      <c r="X154" s="405">
        <v>2946302</v>
      </c>
      <c r="Y154" s="406">
        <v>1302215</v>
      </c>
      <c r="Z154" s="560">
        <v>711681</v>
      </c>
      <c r="AB154" s="407">
        <v>8092795</v>
      </c>
      <c r="AC154" s="404">
        <v>7439452.5020810189</v>
      </c>
      <c r="AD154" s="405">
        <v>7054951.3821067531</v>
      </c>
      <c r="AE154" s="406">
        <v>3220712.1434239228</v>
      </c>
      <c r="AF154" s="560">
        <v>1613134.9709748887</v>
      </c>
      <c r="AG154" s="394">
        <v>4</v>
      </c>
      <c r="AH154" s="408">
        <v>2013896</v>
      </c>
      <c r="AI154" s="408">
        <v>4833847.114398811</v>
      </c>
      <c r="AJ154" s="408">
        <v>810130.29000000015</v>
      </c>
    </row>
    <row r="155" spans="1:38" ht="5.25" customHeight="1" x14ac:dyDescent="0.2">
      <c r="A155" s="409"/>
      <c r="B155" s="409"/>
      <c r="C155" s="409"/>
      <c r="D155" s="409"/>
      <c r="E155" s="409"/>
      <c r="F155" s="409"/>
      <c r="G155" s="409"/>
      <c r="H155" s="409"/>
      <c r="I155" s="410"/>
      <c r="J155" s="409"/>
      <c r="K155" s="409"/>
      <c r="L155" s="409"/>
      <c r="M155" s="409"/>
      <c r="N155" s="409"/>
      <c r="O155" s="409"/>
      <c r="P155" s="409"/>
      <c r="Q155" s="409"/>
      <c r="R155" s="409"/>
      <c r="S155" s="409"/>
      <c r="T155" s="409"/>
      <c r="AG155" s="411"/>
    </row>
    <row r="156" spans="1:38" x14ac:dyDescent="0.2">
      <c r="A156" s="764" t="s">
        <v>332</v>
      </c>
      <c r="B156" s="764"/>
      <c r="C156" s="764"/>
      <c r="D156" s="412"/>
      <c r="E156" s="413"/>
      <c r="F156" s="414"/>
      <c r="G156" s="415">
        <v>11.35024432286756</v>
      </c>
      <c r="H156" s="416">
        <v>4.7337419590604908</v>
      </c>
      <c r="I156" s="417"/>
      <c r="J156" s="418"/>
      <c r="K156" s="414"/>
      <c r="L156" s="419">
        <v>3.7268283192860845</v>
      </c>
      <c r="M156" s="419">
        <v>1.5564050177040722</v>
      </c>
      <c r="N156" s="413"/>
      <c r="O156" s="421"/>
      <c r="P156" s="422">
        <v>7.0029867749003989</v>
      </c>
      <c r="Q156" s="422">
        <v>2.8314838510783957</v>
      </c>
      <c r="R156" s="423"/>
      <c r="S156" s="424">
        <v>9.0771486533562502</v>
      </c>
      <c r="T156" s="424">
        <v>4.0046458275373862</v>
      </c>
      <c r="W156" s="415">
        <v>11.35024432286756</v>
      </c>
      <c r="X156" s="419">
        <v>3.7268283192860845</v>
      </c>
      <c r="Y156" s="422">
        <v>7.0029867749003989</v>
      </c>
      <c r="Z156" s="424">
        <v>9.0771486533562502</v>
      </c>
      <c r="AC156" s="415">
        <v>4.7337419590604908</v>
      </c>
      <c r="AD156" s="419">
        <v>1.5564050177040722</v>
      </c>
      <c r="AE156" s="422">
        <v>2.8314838510783957</v>
      </c>
      <c r="AF156" s="424">
        <v>4.0046458275373862</v>
      </c>
      <c r="AH156" s="149"/>
      <c r="AI156" s="149"/>
      <c r="AK156" s="424">
        <v>7.7359648431925763</v>
      </c>
      <c r="AL156" s="424">
        <v>3.2229874642578102</v>
      </c>
    </row>
    <row r="157" spans="1:38" ht="6" customHeight="1" x14ac:dyDescent="0.2">
      <c r="A157" s="426"/>
      <c r="B157" s="426"/>
      <c r="C157" s="426"/>
      <c r="D157" s="426"/>
      <c r="E157" s="426"/>
      <c r="F157" s="426"/>
      <c r="G157" s="426"/>
      <c r="H157" s="426"/>
      <c r="I157" s="427"/>
      <c r="J157" s="426"/>
      <c r="K157" s="426"/>
      <c r="L157" s="426"/>
      <c r="M157" s="426"/>
      <c r="N157" s="426"/>
      <c r="O157" s="426"/>
      <c r="P157" s="426"/>
      <c r="Q157" s="426"/>
      <c r="R157" s="426"/>
      <c r="S157" s="426"/>
      <c r="T157" s="426"/>
    </row>
    <row r="158" spans="1:38" x14ac:dyDescent="0.2">
      <c r="A158" s="764" t="s">
        <v>4</v>
      </c>
      <c r="B158" s="764"/>
      <c r="C158" s="764"/>
      <c r="D158" s="412"/>
      <c r="E158" s="428"/>
      <c r="F158" s="777" t="s">
        <v>307</v>
      </c>
      <c r="G158" s="777"/>
      <c r="H158" s="777"/>
      <c r="I158" s="777"/>
      <c r="J158" s="777"/>
      <c r="K158" s="777"/>
      <c r="L158" s="777"/>
      <c r="M158" s="777"/>
      <c r="N158" s="777"/>
      <c r="O158" s="777"/>
      <c r="P158" s="777"/>
      <c r="Q158" s="777"/>
      <c r="R158" s="777"/>
      <c r="S158" s="777"/>
      <c r="T158" s="777"/>
      <c r="W158" s="429">
        <v>0.90828784142351626</v>
      </c>
      <c r="X158" s="429">
        <v>0.86250260539251844</v>
      </c>
      <c r="Y158" s="429">
        <v>0.381211372860358</v>
      </c>
      <c r="Z158" s="429">
        <v>0.20833801718505196</v>
      </c>
      <c r="AH158" s="29" t="s">
        <v>331</v>
      </c>
      <c r="AI158" s="29" t="s">
        <v>331</v>
      </c>
      <c r="AJ158" s="29" t="s">
        <v>331</v>
      </c>
      <c r="AK158" s="29" t="s">
        <v>331</v>
      </c>
      <c r="AL158" s="29" t="s">
        <v>331</v>
      </c>
    </row>
    <row r="159" spans="1:38" x14ac:dyDescent="0.2">
      <c r="B159" s="275"/>
      <c r="C159" s="275" t="s">
        <v>8</v>
      </c>
      <c r="D159" s="275"/>
      <c r="E159" s="430"/>
      <c r="F159" s="431">
        <v>1098742.8</v>
      </c>
      <c r="G159" s="416">
        <v>12.060974363189555</v>
      </c>
      <c r="H159" s="416">
        <v>4.7416184290272376</v>
      </c>
      <c r="I159" s="417"/>
      <c r="J159" s="432"/>
      <c r="K159" s="433">
        <v>316824.65000000002</v>
      </c>
      <c r="L159" s="419">
        <v>3.6617343352143878</v>
      </c>
      <c r="M159" s="419">
        <v>1.4443842325985357</v>
      </c>
      <c r="N159" s="430"/>
      <c r="O159" s="434">
        <v>316995.83999999997</v>
      </c>
      <c r="P159" s="388">
        <v>6.9100031128119657</v>
      </c>
      <c r="Q159" s="422">
        <v>2.6927358574354612</v>
      </c>
      <c r="R159" s="435">
        <v>61903.210000000006</v>
      </c>
      <c r="S159" s="425">
        <v>8.9709596545127841</v>
      </c>
      <c r="T159" s="424">
        <v>3.6934219355626587</v>
      </c>
      <c r="V159" s="403">
        <v>1856887</v>
      </c>
      <c r="W159" s="431">
        <v>1751904</v>
      </c>
      <c r="X159" s="436">
        <v>1663906</v>
      </c>
      <c r="Y159" s="434">
        <v>882210</v>
      </c>
      <c r="Z159" s="435">
        <v>132700</v>
      </c>
      <c r="AB159" s="403">
        <v>4711168</v>
      </c>
      <c r="AC159" s="431">
        <v>4456214.5915026879</v>
      </c>
      <c r="AD159" s="436">
        <v>4218255.4982672054</v>
      </c>
      <c r="AE159" s="434">
        <v>2263895.9663721691</v>
      </c>
      <c r="AF159" s="435">
        <v>322315.28564106306</v>
      </c>
      <c r="AH159" s="434">
        <v>1014910</v>
      </c>
      <c r="AI159" s="434">
        <v>2586211.2520132316</v>
      </c>
      <c r="AJ159" s="435">
        <v>378899.05</v>
      </c>
      <c r="AK159" s="424">
        <v>7.1794742315157922</v>
      </c>
      <c r="AL159" s="424">
        <v>2.8174497294586871</v>
      </c>
    </row>
    <row r="160" spans="1:38" x14ac:dyDescent="0.2">
      <c r="B160" s="275"/>
      <c r="C160" s="275" t="s">
        <v>9</v>
      </c>
      <c r="D160" s="275"/>
      <c r="E160" s="437"/>
      <c r="F160" s="431">
        <v>348807.47000000003</v>
      </c>
      <c r="G160" s="416">
        <v>10.993875143267173</v>
      </c>
      <c r="H160" s="416">
        <v>4.6262000278918292</v>
      </c>
      <c r="I160" s="417"/>
      <c r="J160" s="432"/>
      <c r="K160" s="433">
        <v>121172.63</v>
      </c>
      <c r="L160" s="419">
        <v>3.9722870396171057</v>
      </c>
      <c r="M160" s="419">
        <v>1.6716741302268743</v>
      </c>
      <c r="N160" s="437"/>
      <c r="O160" s="438">
        <v>95674.07</v>
      </c>
      <c r="P160" s="388">
        <v>7.4859059383939357</v>
      </c>
      <c r="Q160" s="422">
        <v>3.050462592822643</v>
      </c>
      <c r="R160" s="439">
        <v>104090.89</v>
      </c>
      <c r="S160" s="425">
        <v>9.6638370777712659</v>
      </c>
      <c r="T160" s="424">
        <v>3.9672809880058439</v>
      </c>
      <c r="V160" s="403">
        <v>635353</v>
      </c>
      <c r="W160" s="431">
        <v>610143</v>
      </c>
      <c r="X160" s="436">
        <v>586625</v>
      </c>
      <c r="Y160" s="438">
        <v>245780</v>
      </c>
      <c r="Z160" s="435">
        <v>207138</v>
      </c>
      <c r="AB160" s="403">
        <v>1504175</v>
      </c>
      <c r="AC160" s="431">
        <v>1449966.6942839131</v>
      </c>
      <c r="AD160" s="436">
        <v>1393957.6155905048</v>
      </c>
      <c r="AE160" s="438">
        <v>603149.81926593138</v>
      </c>
      <c r="AF160" s="435">
        <v>504564.18153067707</v>
      </c>
      <c r="AH160" s="438">
        <v>452918</v>
      </c>
      <c r="AI160" s="438">
        <v>1107714.0007966084</v>
      </c>
      <c r="AJ160" s="439">
        <v>199764.96</v>
      </c>
      <c r="AK160" s="424">
        <v>8.4819632828764728</v>
      </c>
      <c r="AL160" s="424">
        <v>3.4680737477283392</v>
      </c>
    </row>
    <row r="161" spans="1:38" x14ac:dyDescent="0.2">
      <c r="B161" s="275"/>
      <c r="C161" s="275" t="s">
        <v>10</v>
      </c>
      <c r="D161" s="275"/>
      <c r="E161" s="437"/>
      <c r="F161" s="440">
        <v>156470.74</v>
      </c>
      <c r="G161" s="416">
        <v>9.1483925753313677</v>
      </c>
      <c r="H161" s="416">
        <v>4.2828533217007418</v>
      </c>
      <c r="I161" s="417"/>
      <c r="J161" s="432"/>
      <c r="K161" s="433">
        <v>70208.39</v>
      </c>
      <c r="L161" s="419">
        <v>4.1987981868143827</v>
      </c>
      <c r="M161" s="419">
        <v>1.9682063530301817</v>
      </c>
      <c r="N161" s="437"/>
      <c r="O161" s="441">
        <v>37070.5</v>
      </c>
      <c r="P161" s="388">
        <v>7.2723531110420572</v>
      </c>
      <c r="Q161" s="422">
        <v>3.6354158758304758</v>
      </c>
      <c r="R161" s="442">
        <v>87964.27</v>
      </c>
      <c r="S161" s="425">
        <v>9.9225176523352889</v>
      </c>
      <c r="T161" s="424">
        <v>4.4903524498061929</v>
      </c>
      <c r="V161" s="403">
        <v>395387</v>
      </c>
      <c r="W161" s="440">
        <v>328916</v>
      </c>
      <c r="X161" s="436">
        <v>321559</v>
      </c>
      <c r="Y161" s="441">
        <v>98028</v>
      </c>
      <c r="Z161" s="435">
        <v>170483</v>
      </c>
      <c r="AB161" s="403">
        <v>834490</v>
      </c>
      <c r="AC161" s="440">
        <v>702581.30883473333</v>
      </c>
      <c r="AD161" s="436">
        <v>685985.66612448182</v>
      </c>
      <c r="AE161" s="441">
        <v>196097.02304179349</v>
      </c>
      <c r="AF161" s="435">
        <v>376723.34094756609</v>
      </c>
      <c r="AH161" s="441">
        <v>268511</v>
      </c>
      <c r="AI161" s="441">
        <v>572820.36398935958</v>
      </c>
      <c r="AJ161" s="442">
        <v>125034.77</v>
      </c>
      <c r="AK161" s="424">
        <v>8.9549955409361548</v>
      </c>
      <c r="AL161" s="424">
        <v>4.1976768963768416</v>
      </c>
    </row>
    <row r="162" spans="1:38" x14ac:dyDescent="0.2">
      <c r="B162" s="275"/>
      <c r="C162" s="275" t="s">
        <v>11</v>
      </c>
      <c r="D162" s="275"/>
      <c r="E162" s="443"/>
      <c r="F162" s="431">
        <v>227234.30999999994</v>
      </c>
      <c r="G162" s="416">
        <v>10.613202418323839</v>
      </c>
      <c r="H162" s="416">
        <v>5.2605557593525285</v>
      </c>
      <c r="I162" s="417"/>
      <c r="J162" s="432"/>
      <c r="K162" s="433">
        <v>62773.140000000014</v>
      </c>
      <c r="L162" s="419">
        <v>3.2259141054556499</v>
      </c>
      <c r="M162" s="419">
        <v>1.5952053099542181</v>
      </c>
      <c r="N162" s="443"/>
      <c r="O162" s="441">
        <v>24468.100000000006</v>
      </c>
      <c r="P162" s="388">
        <v>6.175313786833927</v>
      </c>
      <c r="Q162" s="422">
        <v>2.9862433917092677</v>
      </c>
      <c r="R162" s="442">
        <v>81963.41</v>
      </c>
      <c r="S162" s="425">
        <v>7.8278676155985449</v>
      </c>
      <c r="T162" s="424">
        <v>3.8488293864058765</v>
      </c>
      <c r="V162" s="403">
        <v>528365</v>
      </c>
      <c r="W162" s="431">
        <v>411741</v>
      </c>
      <c r="X162" s="436">
        <v>374212</v>
      </c>
      <c r="Y162" s="441">
        <v>76197</v>
      </c>
      <c r="Z162" s="435">
        <v>201360</v>
      </c>
      <c r="AB162" s="403">
        <v>1042962</v>
      </c>
      <c r="AC162" s="431">
        <v>830689.90745968698</v>
      </c>
      <c r="AD162" s="436">
        <v>756752.60212455981</v>
      </c>
      <c r="AE162" s="441">
        <v>157569.33474402988</v>
      </c>
      <c r="AF162" s="435">
        <v>409532.16285558254</v>
      </c>
      <c r="AH162" s="441">
        <v>277557</v>
      </c>
      <c r="AI162" s="441">
        <v>567101.49759961246</v>
      </c>
      <c r="AJ162" s="442">
        <v>106431.51</v>
      </c>
      <c r="AK162" s="424">
        <v>7.3741963189265913</v>
      </c>
      <c r="AL162" s="424">
        <v>3.6091595884611301</v>
      </c>
    </row>
    <row r="163" spans="1:38" x14ac:dyDescent="0.2">
      <c r="A163" s="444"/>
      <c r="B163" s="758"/>
      <c r="C163" s="758"/>
      <c r="D163" s="758"/>
      <c r="AJ163" s="4"/>
    </row>
    <row r="164" spans="1:38" s="2" customFormat="1" ht="11.25" x14ac:dyDescent="0.2">
      <c r="A164" s="446"/>
      <c r="B164" s="275"/>
      <c r="C164" s="275" t="s">
        <v>8</v>
      </c>
      <c r="D164" s="447"/>
      <c r="E164" s="448"/>
      <c r="F164" s="449">
        <v>0.59999432520419915</v>
      </c>
      <c r="G164" s="31">
        <v>627.1706668858568</v>
      </c>
      <c r="H164" s="31">
        <v>246.56415830941637</v>
      </c>
      <c r="I164" s="30"/>
      <c r="J164" s="450"/>
      <c r="K164" s="449">
        <v>0.55487987373822167</v>
      </c>
      <c r="L164" s="31">
        <v>190.41018543114816</v>
      </c>
      <c r="M164" s="31">
        <v>75.10798009512385</v>
      </c>
      <c r="N164" s="448"/>
      <c r="O164" s="449">
        <v>0.66847353709447344</v>
      </c>
      <c r="P164" s="31">
        <v>359.32016186622224</v>
      </c>
      <c r="Q164" s="31">
        <v>140.02226458664398</v>
      </c>
      <c r="R164" s="449">
        <v>0.18427864367710844</v>
      </c>
      <c r="S164" s="31">
        <v>466.48990203466479</v>
      </c>
      <c r="T164" s="31">
        <v>192.05794064925826</v>
      </c>
      <c r="U164" s="275"/>
      <c r="V164" s="275" t="s">
        <v>7</v>
      </c>
      <c r="W164" s="149">
        <v>0.90828784142351626</v>
      </c>
      <c r="X164" s="149">
        <v>0.86250260539251844</v>
      </c>
      <c r="Y164" s="149">
        <v>0.381211372860358</v>
      </c>
      <c r="Z164" s="149">
        <v>0.20833801718505196</v>
      </c>
    </row>
    <row r="165" spans="1:38" s="2" customFormat="1" ht="11.25" x14ac:dyDescent="0.2">
      <c r="B165" s="275"/>
      <c r="C165" s="275" t="s">
        <v>9</v>
      </c>
      <c r="E165" s="448"/>
      <c r="F165" s="449">
        <v>0.19047451559075876</v>
      </c>
      <c r="G165" s="31">
        <v>571.68150744989305</v>
      </c>
      <c r="H165" s="31">
        <v>240.56240145037512</v>
      </c>
      <c r="I165" s="30"/>
      <c r="J165" s="450"/>
      <c r="K165" s="449">
        <v>0.21221913646847948</v>
      </c>
      <c r="L165" s="31">
        <v>206.5589260600895</v>
      </c>
      <c r="M165" s="31">
        <v>86.927054771797458</v>
      </c>
      <c r="N165" s="448"/>
      <c r="O165" s="449">
        <v>0.20175527849552932</v>
      </c>
      <c r="P165" s="31">
        <v>389.26710879648465</v>
      </c>
      <c r="Q165" s="31">
        <v>158.62405482677744</v>
      </c>
      <c r="R165" s="449">
        <v>0.30986645164835697</v>
      </c>
      <c r="S165" s="31">
        <v>502.51952804410581</v>
      </c>
      <c r="T165" s="31">
        <v>206.29861137630388</v>
      </c>
      <c r="U165" s="275"/>
      <c r="V165" s="275" t="s">
        <v>8</v>
      </c>
      <c r="W165" s="149">
        <v>0.94346290323536108</v>
      </c>
      <c r="X165" s="149">
        <v>0.89607283588069708</v>
      </c>
      <c r="Y165" s="149">
        <v>0.47510160822925679</v>
      </c>
      <c r="Z165" s="149">
        <v>7.1463691651672934E-2</v>
      </c>
    </row>
    <row r="166" spans="1:38" s="2" customFormat="1" ht="11.25" x14ac:dyDescent="0.2">
      <c r="B166" s="275"/>
      <c r="C166" s="275" t="s">
        <v>10</v>
      </c>
      <c r="E166" s="448"/>
      <c r="F166" s="449">
        <v>8.5444524469695429E-2</v>
      </c>
      <c r="G166" s="31">
        <v>475.71641391723114</v>
      </c>
      <c r="H166" s="31">
        <v>222.70837272843858</v>
      </c>
      <c r="I166" s="30"/>
      <c r="J166" s="450"/>
      <c r="K166" s="449">
        <v>0.12296146331595038</v>
      </c>
      <c r="L166" s="31">
        <v>218.33750571434791</v>
      </c>
      <c r="M166" s="31">
        <v>102.34673035756944</v>
      </c>
      <c r="N166" s="448"/>
      <c r="O166" s="449">
        <v>7.8173417849460358E-2</v>
      </c>
      <c r="P166" s="31">
        <v>378.16236177418699</v>
      </c>
      <c r="Q166" s="31">
        <v>189.04162554318475</v>
      </c>
      <c r="R166" s="449">
        <v>0.26185938285990273</v>
      </c>
      <c r="S166" s="31">
        <v>515.97091792143499</v>
      </c>
      <c r="T166" s="31">
        <v>233.49832738992203</v>
      </c>
      <c r="U166" s="275"/>
      <c r="V166" s="275" t="s">
        <v>9</v>
      </c>
      <c r="W166" s="149">
        <v>0.96032127022300984</v>
      </c>
      <c r="X166" s="149">
        <v>0.9233056269506873</v>
      </c>
      <c r="Y166" s="149">
        <v>0.38684007158225425</v>
      </c>
      <c r="Z166" s="149">
        <v>0.32602033830012606</v>
      </c>
    </row>
    <row r="167" spans="1:38" s="2" customFormat="1" ht="11.25" x14ac:dyDescent="0.2">
      <c r="B167" s="275"/>
      <c r="C167" s="275" t="s">
        <v>11</v>
      </c>
      <c r="E167" s="448"/>
      <c r="F167" s="449">
        <v>0.1240866347353464</v>
      </c>
      <c r="G167" s="31">
        <v>551.88652575283959</v>
      </c>
      <c r="H167" s="31">
        <v>273.54889948633149</v>
      </c>
      <c r="I167" s="30"/>
      <c r="J167" s="450"/>
      <c r="K167" s="449">
        <v>0.10993952647734864</v>
      </c>
      <c r="L167" s="31">
        <v>167.74753348369379</v>
      </c>
      <c r="M167" s="31">
        <v>82.950676117619338</v>
      </c>
      <c r="N167" s="448"/>
      <c r="O167" s="449">
        <v>5.1597766560536849E-2</v>
      </c>
      <c r="P167" s="31">
        <v>321.11631691536422</v>
      </c>
      <c r="Q167" s="31">
        <v>155.28465636888191</v>
      </c>
      <c r="R167" s="449">
        <v>0.24399552181463199</v>
      </c>
      <c r="S167" s="31">
        <v>407.04911601112434</v>
      </c>
      <c r="T167" s="31">
        <v>200.13912809310557</v>
      </c>
      <c r="U167" s="275"/>
      <c r="V167" s="275" t="s">
        <v>10</v>
      </c>
      <c r="W167" s="149">
        <v>0.8318836987559024</v>
      </c>
      <c r="X167" s="149">
        <v>0.81327661253404893</v>
      </c>
      <c r="Y167" s="149">
        <v>0.24792924400650501</v>
      </c>
      <c r="Z167" s="149">
        <v>0.43118008432244864</v>
      </c>
    </row>
    <row r="168" spans="1:38" s="2" customFormat="1" ht="11.25" x14ac:dyDescent="0.2">
      <c r="C168" s="275" t="s">
        <v>7</v>
      </c>
      <c r="E168" s="448"/>
      <c r="G168" s="31">
        <v>590.2127047891131</v>
      </c>
      <c r="H168" s="31">
        <v>246.15458187114552</v>
      </c>
      <c r="I168" s="30"/>
      <c r="J168" s="450"/>
      <c r="L168" s="31">
        <v>193.79507260287639</v>
      </c>
      <c r="M168" s="31">
        <v>80.933060920611751</v>
      </c>
      <c r="N168" s="448"/>
      <c r="O168" s="30"/>
      <c r="P168" s="31">
        <v>364.15531229482076</v>
      </c>
      <c r="Q168" s="31">
        <v>147.23716025607658</v>
      </c>
      <c r="R168" s="30"/>
      <c r="S168" s="31">
        <v>472.011729974525</v>
      </c>
      <c r="T168" s="31">
        <v>208.24158303194409</v>
      </c>
      <c r="V168" s="275" t="s">
        <v>11</v>
      </c>
      <c r="W168" s="149">
        <v>0.77927379746955228</v>
      </c>
      <c r="X168" s="149">
        <v>0.70824524713029824</v>
      </c>
      <c r="Y168" s="149">
        <v>0.14421280743425474</v>
      </c>
      <c r="Z168" s="149">
        <v>0.38110018642415755</v>
      </c>
      <c r="AC168" s="4"/>
    </row>
    <row r="169" spans="1:38" s="2" customFormat="1" ht="11.25" x14ac:dyDescent="0.2">
      <c r="E169" s="448"/>
      <c r="I169" s="30"/>
      <c r="J169" s="450"/>
      <c r="L169" s="31"/>
      <c r="M169" s="31"/>
      <c r="N169" s="448"/>
      <c r="O169" s="30"/>
      <c r="P169" s="30"/>
      <c r="Q169" s="30"/>
      <c r="R169" s="30"/>
      <c r="V169" s="325"/>
      <c r="X169" s="149"/>
      <c r="Z169" s="149"/>
      <c r="AC169" s="149"/>
    </row>
    <row r="170" spans="1:38" x14ac:dyDescent="0.2">
      <c r="O170" s="275"/>
      <c r="P170" s="2"/>
      <c r="Q170" s="2"/>
      <c r="R170" s="2"/>
      <c r="S170" s="2"/>
      <c r="T170" s="2"/>
      <c r="V170" s="275" t="s">
        <v>7</v>
      </c>
      <c r="W170" s="2">
        <v>128</v>
      </c>
      <c r="X170" s="2">
        <v>112</v>
      </c>
      <c r="Y170" s="2">
        <v>46</v>
      </c>
      <c r="Z170" s="2">
        <v>43</v>
      </c>
    </row>
    <row r="171" spans="1:38" x14ac:dyDescent="0.2">
      <c r="O171" s="275"/>
      <c r="P171" s="2"/>
      <c r="Q171" s="2"/>
      <c r="R171" s="2"/>
      <c r="S171" s="2"/>
      <c r="T171" s="2"/>
      <c r="V171" s="275" t="s">
        <v>8</v>
      </c>
      <c r="W171" s="2">
        <v>30</v>
      </c>
      <c r="X171" s="2">
        <v>30</v>
      </c>
      <c r="Y171" s="2">
        <v>25</v>
      </c>
      <c r="Z171" s="2">
        <v>3</v>
      </c>
    </row>
    <row r="172" spans="1:38" x14ac:dyDescent="0.2">
      <c r="V172" s="275" t="s">
        <v>9</v>
      </c>
      <c r="W172" s="2">
        <v>12</v>
      </c>
      <c r="X172" s="2">
        <v>12</v>
      </c>
      <c r="Y172" s="2">
        <v>6</v>
      </c>
      <c r="Z172" s="2">
        <v>4</v>
      </c>
    </row>
    <row r="173" spans="1:38" x14ac:dyDescent="0.2">
      <c r="V173" s="275" t="s">
        <v>10</v>
      </c>
      <c r="W173" s="2">
        <v>19</v>
      </c>
      <c r="X173" s="2">
        <v>19</v>
      </c>
      <c r="Y173" s="2">
        <v>5</v>
      </c>
      <c r="Z173" s="2">
        <v>11</v>
      </c>
    </row>
    <row r="174" spans="1:38" x14ac:dyDescent="0.2">
      <c r="O174" s="451"/>
      <c r="V174" s="275" t="s">
        <v>11</v>
      </c>
      <c r="W174" s="2">
        <v>67</v>
      </c>
      <c r="X174" s="2">
        <v>51</v>
      </c>
      <c r="Y174" s="2">
        <v>10</v>
      </c>
      <c r="Z174" s="2">
        <v>25</v>
      </c>
    </row>
    <row r="175" spans="1:38" x14ac:dyDescent="0.2">
      <c r="B175" s="94" t="s">
        <v>224</v>
      </c>
    </row>
    <row r="176" spans="1:38" x14ac:dyDescent="0.2">
      <c r="A176" s="778" t="s">
        <v>0</v>
      </c>
      <c r="B176" s="778"/>
      <c r="C176" s="778"/>
      <c r="D176" s="395"/>
      <c r="E176" s="329"/>
      <c r="F176" s="396">
        <v>1718473.5099999995</v>
      </c>
      <c r="G176" s="378"/>
      <c r="H176" s="378"/>
      <c r="I176" s="397"/>
      <c r="K176" s="399">
        <v>564248.62</v>
      </c>
      <c r="L176" s="378"/>
      <c r="M176" s="400"/>
      <c r="N176" s="329"/>
      <c r="O176" s="401">
        <v>405717.14000000007</v>
      </c>
      <c r="P176" s="385"/>
      <c r="Q176" s="385"/>
      <c r="R176" s="402">
        <v>215898.71999999997</v>
      </c>
      <c r="S176" s="378"/>
      <c r="T176" s="400"/>
      <c r="V176" s="403">
        <v>3342024</v>
      </c>
      <c r="W176" s="404">
        <v>2952576</v>
      </c>
      <c r="X176" s="405">
        <v>2864349</v>
      </c>
      <c r="Y176" s="406">
        <v>1514948</v>
      </c>
      <c r="Z176" s="406">
        <v>550435</v>
      </c>
      <c r="AB176" s="407">
        <v>8088791</v>
      </c>
      <c r="AC176" s="404">
        <v>7254096.9667887967</v>
      </c>
      <c r="AD176" s="405">
        <v>7058677.2540977364</v>
      </c>
      <c r="AE176" s="406">
        <v>3836217.0637409217</v>
      </c>
      <c r="AF176" s="406">
        <v>1256082.8983154271</v>
      </c>
      <c r="AG176" s="394">
        <v>4</v>
      </c>
      <c r="AH176" s="408">
        <v>2065383</v>
      </c>
      <c r="AI176" s="408">
        <v>5092299.96205635</v>
      </c>
      <c r="AJ176" s="408">
        <v>621615.86</v>
      </c>
    </row>
    <row r="177" spans="1:38" ht="5.25" customHeight="1" x14ac:dyDescent="0.2">
      <c r="A177" s="409"/>
      <c r="B177" s="409"/>
      <c r="C177" s="409"/>
      <c r="D177" s="409"/>
      <c r="E177" s="409"/>
      <c r="F177" s="409"/>
      <c r="G177" s="409"/>
      <c r="H177" s="409"/>
      <c r="I177" s="410"/>
      <c r="J177" s="409"/>
      <c r="K177" s="409"/>
      <c r="L177" s="409"/>
      <c r="M177" s="409"/>
      <c r="N177" s="409"/>
      <c r="O177" s="409"/>
      <c r="P177" s="409"/>
      <c r="Q177" s="409"/>
      <c r="R177" s="409"/>
      <c r="S177" s="409"/>
      <c r="T177" s="409"/>
      <c r="AG177" s="411"/>
    </row>
    <row r="178" spans="1:38" x14ac:dyDescent="0.2">
      <c r="A178" s="764" t="s">
        <v>332</v>
      </c>
      <c r="B178" s="764"/>
      <c r="C178" s="764"/>
      <c r="D178" s="412"/>
      <c r="E178" s="413"/>
      <c r="F178" s="414"/>
      <c r="G178" s="415">
        <v>11.192791481066022</v>
      </c>
      <c r="H178" s="416">
        <v>4.5557107454312549</v>
      </c>
      <c r="I178" s="417"/>
      <c r="J178" s="418"/>
      <c r="K178" s="414"/>
      <c r="L178" s="419">
        <v>3.7882726581153343</v>
      </c>
      <c r="M178" s="420">
        <v>1.5372476470291603</v>
      </c>
      <c r="N178" s="413"/>
      <c r="O178" s="421"/>
      <c r="P178" s="422">
        <v>5.1501785489057665</v>
      </c>
      <c r="Q178" s="422">
        <v>2.0338402553006882</v>
      </c>
      <c r="R178" s="423"/>
      <c r="S178" s="424">
        <v>7.5429405134819936</v>
      </c>
      <c r="T178" s="424">
        <v>3.3054334766492754</v>
      </c>
      <c r="W178" s="416">
        <v>11.192791481066022</v>
      </c>
      <c r="X178" s="420">
        <v>3.7882726581153343</v>
      </c>
      <c r="Y178" s="388">
        <v>5.1501785489057665</v>
      </c>
      <c r="Z178" s="388">
        <v>7.5429405134819936</v>
      </c>
      <c r="AC178" s="416">
        <v>4.5557107454312549</v>
      </c>
      <c r="AD178" s="420">
        <v>1.5372476470291603</v>
      </c>
      <c r="AE178" s="388">
        <v>2.0338402553006882</v>
      </c>
      <c r="AF178" s="388">
        <v>3.3054334766492754</v>
      </c>
      <c r="AH178" s="149"/>
      <c r="AI178" s="149"/>
      <c r="AK178" s="425">
        <v>5.7878616962791662</v>
      </c>
      <c r="AL178" s="425">
        <v>2.3474954819862734</v>
      </c>
    </row>
    <row r="179" spans="1:38" ht="6" customHeight="1" x14ac:dyDescent="0.2">
      <c r="A179" s="426"/>
      <c r="B179" s="426"/>
      <c r="C179" s="426"/>
      <c r="D179" s="426"/>
      <c r="E179" s="426"/>
      <c r="F179" s="426"/>
      <c r="G179" s="426"/>
      <c r="H179" s="426"/>
      <c r="I179" s="427"/>
      <c r="J179" s="426"/>
      <c r="K179" s="426"/>
      <c r="L179" s="426"/>
      <c r="M179" s="426"/>
      <c r="N179" s="426"/>
      <c r="O179" s="426"/>
      <c r="P179" s="426"/>
      <c r="Q179" s="426"/>
      <c r="R179" s="426"/>
      <c r="S179" s="426"/>
      <c r="T179" s="426"/>
    </row>
    <row r="180" spans="1:38" x14ac:dyDescent="0.2">
      <c r="A180" s="764" t="s">
        <v>4</v>
      </c>
      <c r="B180" s="764"/>
      <c r="C180" s="764"/>
      <c r="D180" s="412"/>
      <c r="E180" s="428"/>
      <c r="F180" s="777" t="s">
        <v>307</v>
      </c>
      <c r="G180" s="777"/>
      <c r="H180" s="777"/>
      <c r="I180" s="777"/>
      <c r="J180" s="777"/>
      <c r="K180" s="777"/>
      <c r="L180" s="777"/>
      <c r="M180" s="777"/>
      <c r="N180" s="777"/>
      <c r="O180" s="777"/>
      <c r="P180" s="777"/>
      <c r="Q180" s="777"/>
      <c r="R180" s="777"/>
      <c r="S180" s="777"/>
      <c r="T180" s="777"/>
      <c r="W180" s="429">
        <f>W176/V176</f>
        <v>0.88346941853200334</v>
      </c>
      <c r="X180" s="429">
        <f>X176/V176</f>
        <v>0.85707014671348858</v>
      </c>
      <c r="AH180" s="29" t="s">
        <v>331</v>
      </c>
      <c r="AI180" s="29" t="s">
        <v>331</v>
      </c>
      <c r="AJ180" s="29" t="s">
        <v>331</v>
      </c>
      <c r="AK180" s="29" t="s">
        <v>331</v>
      </c>
      <c r="AL180" s="29" t="s">
        <v>331</v>
      </c>
    </row>
    <row r="181" spans="1:38" x14ac:dyDescent="0.2">
      <c r="B181" s="275"/>
      <c r="C181" s="275" t="s">
        <v>8</v>
      </c>
      <c r="D181" s="275"/>
      <c r="E181" s="430"/>
      <c r="F181" s="431">
        <v>1055090.4200000002</v>
      </c>
      <c r="G181" s="416">
        <v>12.259747209177009</v>
      </c>
      <c r="H181" s="416">
        <v>4.6255157990935123</v>
      </c>
      <c r="I181" s="417"/>
      <c r="J181" s="432"/>
      <c r="K181" s="433">
        <v>312930.09000000003</v>
      </c>
      <c r="L181" s="420">
        <v>3.7204792486652858</v>
      </c>
      <c r="M181" s="420">
        <v>1.4046412011244489</v>
      </c>
      <c r="N181" s="430"/>
      <c r="O181" s="434">
        <v>267584.75</v>
      </c>
      <c r="P181" s="388">
        <v>5.2219072116462817</v>
      </c>
      <c r="Q181" s="422">
        <v>1.9662930444577162</v>
      </c>
      <c r="R181" s="435">
        <v>38495.700000000004</v>
      </c>
      <c r="S181" s="425">
        <v>8.1119199118673162</v>
      </c>
      <c r="T181" s="424">
        <v>3.1914136475302191</v>
      </c>
      <c r="V181" s="403">
        <v>1813089</v>
      </c>
      <c r="W181" s="431">
        <v>1655026</v>
      </c>
      <c r="X181" s="436">
        <v>1617503</v>
      </c>
      <c r="Y181" s="434">
        <v>985437</v>
      </c>
      <c r="Z181" s="434">
        <v>91261</v>
      </c>
      <c r="AB181" s="407">
        <v>4768575</v>
      </c>
      <c r="AC181" s="431">
        <v>4386581.1437919568</v>
      </c>
      <c r="AD181" s="436">
        <v>4284287.2196375728</v>
      </c>
      <c r="AE181" s="434">
        <v>2617036.4541681292</v>
      </c>
      <c r="AF181" s="434">
        <v>231966.77235802083</v>
      </c>
      <c r="AH181" s="434">
        <v>1076698</v>
      </c>
      <c r="AI181" s="434">
        <v>2849003.2265261505</v>
      </c>
      <c r="AJ181" s="435">
        <v>306080.45</v>
      </c>
      <c r="AK181" s="425">
        <v>5.4668648961918755</v>
      </c>
      <c r="AL181" s="425">
        <v>2.0660427637272707</v>
      </c>
    </row>
    <row r="182" spans="1:38" x14ac:dyDescent="0.2">
      <c r="B182" s="275"/>
      <c r="C182" s="275" t="s">
        <v>9</v>
      </c>
      <c r="D182" s="275"/>
      <c r="E182" s="437"/>
      <c r="F182" s="431">
        <v>319978.5</v>
      </c>
      <c r="G182" s="416">
        <v>10.664158421385206</v>
      </c>
      <c r="H182" s="416">
        <v>4.5151190543335522</v>
      </c>
      <c r="I182" s="417"/>
      <c r="J182" s="432"/>
      <c r="K182" s="433">
        <v>118290.47999999998</v>
      </c>
      <c r="L182" s="420">
        <v>3.9465189302024473</v>
      </c>
      <c r="M182" s="420">
        <v>1.670462326156414</v>
      </c>
      <c r="N182" s="437"/>
      <c r="O182" s="438">
        <v>95741.9</v>
      </c>
      <c r="P182" s="388">
        <v>5.2144186980747005</v>
      </c>
      <c r="Q182" s="422">
        <v>2.1393003895055198</v>
      </c>
      <c r="R182" s="439">
        <v>51550.8</v>
      </c>
      <c r="S182" s="425">
        <v>8.1685648711842855</v>
      </c>
      <c r="T182" s="424">
        <v>3.4146631973122883</v>
      </c>
      <c r="V182" s="403">
        <v>625338</v>
      </c>
      <c r="W182" s="431">
        <v>577020</v>
      </c>
      <c r="X182" s="436">
        <v>576411</v>
      </c>
      <c r="Y182" s="438">
        <v>353096</v>
      </c>
      <c r="Z182" s="438">
        <v>121363</v>
      </c>
      <c r="AB182" s="407">
        <v>1472883</v>
      </c>
      <c r="AC182" s="431">
        <v>1362850.5955788051</v>
      </c>
      <c r="AD182" s="436">
        <v>1361788.8218473478</v>
      </c>
      <c r="AE182" s="438">
        <v>860650.70321468951</v>
      </c>
      <c r="AF182" s="438">
        <v>290324.83767120808</v>
      </c>
      <c r="AH182" s="438">
        <v>474459</v>
      </c>
      <c r="AI182" s="438">
        <v>1150975.5408858976</v>
      </c>
      <c r="AJ182" s="439">
        <v>147292.70000000001</v>
      </c>
      <c r="AK182" s="425">
        <v>5.9700667983470073</v>
      </c>
      <c r="AL182" s="425">
        <v>2.4610009704434974</v>
      </c>
    </row>
    <row r="183" spans="1:38" x14ac:dyDescent="0.2">
      <c r="B183" s="275"/>
      <c r="C183" s="275" t="s">
        <v>10</v>
      </c>
      <c r="D183" s="275"/>
      <c r="E183" s="437"/>
      <c r="F183" s="440">
        <v>144350.98000000001</v>
      </c>
      <c r="G183" s="416">
        <v>8.4154279427388676</v>
      </c>
      <c r="H183" s="416">
        <v>3.9293168541921446</v>
      </c>
      <c r="I183" s="417"/>
      <c r="J183" s="432"/>
      <c r="K183" s="433">
        <v>71210.339999999982</v>
      </c>
      <c r="L183" s="420">
        <v>4.2442929700873231</v>
      </c>
      <c r="M183" s="420">
        <v>1.9823828090479076</v>
      </c>
      <c r="N183" s="437"/>
      <c r="O183" s="441">
        <v>25563.200000000001</v>
      </c>
      <c r="P183" s="388">
        <v>4.9835773083005552</v>
      </c>
      <c r="Q183" s="422">
        <v>2.3879188504249367</v>
      </c>
      <c r="R183" s="442">
        <v>72608.160000000003</v>
      </c>
      <c r="S183" s="425">
        <v>8.6279900468425819</v>
      </c>
      <c r="T183" s="424">
        <v>3.9576388563162164</v>
      </c>
      <c r="V183" s="403">
        <v>382834</v>
      </c>
      <c r="W183" s="440">
        <v>329868</v>
      </c>
      <c r="X183" s="436">
        <v>322652</v>
      </c>
      <c r="Y183" s="441">
        <v>98644</v>
      </c>
      <c r="Z183" s="441">
        <v>161835</v>
      </c>
      <c r="AB183" s="407">
        <v>818217</v>
      </c>
      <c r="AC183" s="440">
        <v>706479.13813662599</v>
      </c>
      <c r="AD183" s="436">
        <v>690799.78354045574</v>
      </c>
      <c r="AE183" s="441">
        <v>205869.6424765517</v>
      </c>
      <c r="AF183" s="441">
        <v>352814.09444480238</v>
      </c>
      <c r="AH183" s="441">
        <v>260479</v>
      </c>
      <c r="AI183" s="441">
        <v>558683.73692135396</v>
      </c>
      <c r="AJ183" s="442">
        <v>98171.359999999986</v>
      </c>
      <c r="AK183" s="425">
        <v>7.2478425102628972</v>
      </c>
      <c r="AL183" s="425">
        <v>3.3792119663875786</v>
      </c>
    </row>
    <row r="184" spans="1:38" x14ac:dyDescent="0.2">
      <c r="B184" s="275"/>
      <c r="C184" s="275" t="s">
        <v>11</v>
      </c>
      <c r="D184" s="275"/>
      <c r="E184" s="443"/>
      <c r="F184" s="431">
        <v>199053.61000000002</v>
      </c>
      <c r="G184" s="416">
        <v>9.7986342118289951</v>
      </c>
      <c r="H184" s="416">
        <v>4.7958165268299515</v>
      </c>
      <c r="I184" s="417"/>
      <c r="J184" s="432"/>
      <c r="K184" s="433">
        <v>61817.71</v>
      </c>
      <c r="L184" s="420">
        <v>3.4182295149119288</v>
      </c>
      <c r="M184" s="420">
        <v>1.6469932969133023</v>
      </c>
      <c r="N184" s="443"/>
      <c r="O184" s="441">
        <v>16827.29</v>
      </c>
      <c r="P184" s="388">
        <v>4.1609562789372747</v>
      </c>
      <c r="Q184" s="422">
        <v>2.1197508935286011</v>
      </c>
      <c r="R184" s="442">
        <v>53244.060000000005</v>
      </c>
      <c r="S184" s="425">
        <v>5.8185447491091455</v>
      </c>
      <c r="T184" s="424">
        <v>2.6876260503811125</v>
      </c>
      <c r="V184" s="403">
        <v>520763</v>
      </c>
      <c r="W184" s="431">
        <v>390662</v>
      </c>
      <c r="X184" s="436">
        <v>347783</v>
      </c>
      <c r="Y184" s="441">
        <v>77771</v>
      </c>
      <c r="Z184" s="441">
        <v>175976</v>
      </c>
      <c r="AB184" s="407">
        <v>1029116</v>
      </c>
      <c r="AC184" s="431">
        <v>798186.08928140707</v>
      </c>
      <c r="AD184" s="436">
        <v>721801.4290723576</v>
      </c>
      <c r="AE184" s="441">
        <v>152660.26388155148</v>
      </c>
      <c r="AF184" s="441">
        <v>380977.19384139613</v>
      </c>
      <c r="AH184" s="441">
        <v>253747</v>
      </c>
      <c r="AI184" s="441">
        <v>533637.45772294758</v>
      </c>
      <c r="AJ184" s="442">
        <v>70071.349999999991</v>
      </c>
      <c r="AK184" s="425">
        <v>5.310509923421602</v>
      </c>
      <c r="AL184" s="425">
        <v>2.525171241330038</v>
      </c>
    </row>
    <row r="186" spans="1:38" x14ac:dyDescent="0.2">
      <c r="O186" s="451"/>
    </row>
    <row r="188" spans="1:38" x14ac:dyDescent="0.2">
      <c r="O188" s="451"/>
    </row>
    <row r="190" spans="1:38" x14ac:dyDescent="0.2">
      <c r="O190" s="451"/>
    </row>
  </sheetData>
  <mergeCells count="22">
    <mergeCell ref="AC4:AF4"/>
    <mergeCell ref="O2:T2"/>
    <mergeCell ref="W2:Z2"/>
    <mergeCell ref="AB2:AF2"/>
    <mergeCell ref="A180:C180"/>
    <mergeCell ref="F180:T180"/>
    <mergeCell ref="A134:C134"/>
    <mergeCell ref="A136:C136"/>
    <mergeCell ref="A138:C138"/>
    <mergeCell ref="F138:T138"/>
    <mergeCell ref="B142:D142"/>
    <mergeCell ref="A176:C176"/>
    <mergeCell ref="A154:C154"/>
    <mergeCell ref="A156:C156"/>
    <mergeCell ref="A158:C158"/>
    <mergeCell ref="F158:T158"/>
    <mergeCell ref="B163:D163"/>
    <mergeCell ref="K3:M3"/>
    <mergeCell ref="O3:T3"/>
    <mergeCell ref="W4:Z4"/>
    <mergeCell ref="A178:C178"/>
    <mergeCell ref="W137:Z137"/>
  </mergeCells>
  <hyperlinks>
    <hyperlink ref="G4" location="'2009-10'!A160" display="Bottom" xr:uid="{AB3C65DB-A053-41BB-82FD-6BB803B5D753}"/>
    <hyperlink ref="F4" location="'2009-10'!A160" display="Bottom" xr:uid="{8BD62E48-E1F8-4E9A-B8E7-34BF5E0DEF9F}"/>
    <hyperlink ref="D63" location="'2009-10'!A160" display="Bottom" xr:uid="{B652F6F6-DCF2-4918-B6B9-65B70373B7EB}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1DC73-2CD5-4EAA-B5F4-E94AE25997A0}">
  <dimension ref="A1:BK214"/>
  <sheetViews>
    <sheetView workbookViewId="0">
      <selection activeCell="AW23" sqref="AW23"/>
    </sheetView>
  </sheetViews>
  <sheetFormatPr defaultColWidth="9.140625" defaultRowHeight="15" x14ac:dyDescent="0.25"/>
  <cols>
    <col min="1" max="1" width="7.42578125" style="119" customWidth="1"/>
    <col min="2" max="2" width="26" style="119" bestFit="1" customWidth="1"/>
    <col min="3" max="3" width="13.5703125" style="119" bestFit="1" customWidth="1"/>
    <col min="4" max="4" width="3" style="119" customWidth="1"/>
    <col min="5" max="5" width="0.85546875" style="216" customWidth="1"/>
    <col min="6" max="6" width="11.140625" style="208" bestFit="1" customWidth="1"/>
    <col min="7" max="7" width="11.42578125" style="208" bestFit="1" customWidth="1"/>
    <col min="8" max="8" width="9.28515625" style="208" bestFit="1" customWidth="1"/>
    <col min="9" max="9" width="0.85546875" style="216" customWidth="1"/>
    <col min="10" max="10" width="14" style="208" bestFit="1" customWidth="1"/>
    <col min="11" max="11" width="11.42578125" style="208" bestFit="1" customWidth="1"/>
    <col min="12" max="12" width="9.28515625" style="208" bestFit="1" customWidth="1"/>
    <col min="13" max="13" width="0.85546875" style="216" customWidth="1"/>
    <col min="14" max="14" width="11.140625" style="208" bestFit="1" customWidth="1"/>
    <col min="15" max="15" width="11.42578125" style="208" bestFit="1" customWidth="1"/>
    <col min="16" max="16" width="9.28515625" style="208" bestFit="1" customWidth="1"/>
    <col min="17" max="17" width="11.140625" style="208" bestFit="1" customWidth="1"/>
    <col min="18" max="18" width="11.42578125" style="208" bestFit="1" customWidth="1"/>
    <col min="19" max="19" width="9.28515625" style="208" bestFit="1" customWidth="1"/>
    <col min="20" max="20" width="0.85546875" style="216" customWidth="1"/>
    <col min="21" max="22" width="9.85546875" style="134" bestFit="1" customWidth="1"/>
    <col min="23" max="23" width="9.28515625" style="119" bestFit="1" customWidth="1"/>
    <col min="24" max="24" width="18.7109375" style="119" bestFit="1" customWidth="1"/>
    <col min="25" max="25" width="20.28515625" style="376" bestFit="1" customWidth="1"/>
    <col min="26" max="26" width="12.140625" style="574" bestFit="1" customWidth="1"/>
    <col min="27" max="28" width="10.42578125" style="574" bestFit="1" customWidth="1"/>
    <col min="29" max="29" width="9" style="574" bestFit="1" customWidth="1"/>
    <col min="30" max="30" width="9.42578125" style="574" customWidth="1"/>
    <col min="31" max="31" width="10.85546875" style="574" bestFit="1" customWidth="1"/>
    <col min="32" max="32" width="8.5703125" style="574" customWidth="1"/>
    <col min="33" max="33" width="9.42578125" style="574" customWidth="1"/>
    <col min="34" max="34" width="4.42578125" style="574" customWidth="1"/>
    <col min="35" max="35" width="9" style="574" bestFit="1" customWidth="1"/>
    <col min="36" max="36" width="9.42578125" style="574" customWidth="1"/>
    <col min="37" max="37" width="4.42578125" style="574" customWidth="1"/>
    <col min="38" max="38" width="10.42578125" style="574" bestFit="1" customWidth="1"/>
    <col min="39" max="39" width="9.42578125" style="574" customWidth="1"/>
    <col min="40" max="40" width="4.7109375" style="574" customWidth="1"/>
    <col min="41" max="41" width="8.5703125" style="574" customWidth="1"/>
    <col min="42" max="42" width="9.42578125" style="574" customWidth="1"/>
    <col min="43" max="43" width="9.42578125" style="574" bestFit="1" customWidth="1"/>
    <col min="44" max="44" width="21.5703125" style="574" bestFit="1" customWidth="1"/>
    <col min="45" max="45" width="10.42578125" style="574" bestFit="1" customWidth="1"/>
    <col min="46" max="46" width="9.42578125" style="574" bestFit="1" customWidth="1"/>
    <col min="47" max="47" width="9.42578125" style="574" customWidth="1"/>
    <col min="48" max="61" width="9.140625" style="574"/>
    <col min="62" max="62" width="16" style="574" bestFit="1" customWidth="1"/>
    <col min="63" max="16384" width="9.140625" style="119"/>
  </cols>
  <sheetData>
    <row r="1" spans="1:62" s="113" customFormat="1" ht="15.75" x14ac:dyDescent="0.25">
      <c r="A1" s="121" t="s">
        <v>446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278"/>
      <c r="U1" s="114"/>
      <c r="V1" s="114"/>
      <c r="Y1" s="376"/>
      <c r="Z1" s="574"/>
      <c r="AA1" s="574"/>
      <c r="AB1" s="275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Y1" s="574"/>
      <c r="AZ1" s="574"/>
      <c r="BA1" s="574"/>
      <c r="BB1" s="574"/>
      <c r="BC1" s="574"/>
      <c r="BD1" s="574"/>
      <c r="BE1" s="574"/>
      <c r="BF1" s="574"/>
      <c r="BG1" s="574"/>
      <c r="BH1" s="574"/>
      <c r="BI1" s="574"/>
      <c r="BJ1" s="574"/>
    </row>
    <row r="2" spans="1:62" ht="15.75" customHeight="1" x14ac:dyDescent="0.25">
      <c r="A2" s="115"/>
      <c r="B2" s="115"/>
      <c r="C2" s="115"/>
      <c r="D2" s="115"/>
      <c r="E2" s="115"/>
      <c r="F2" s="788" t="s">
        <v>208</v>
      </c>
      <c r="G2" s="789"/>
      <c r="H2" s="789"/>
      <c r="I2" s="222"/>
      <c r="J2" s="760" t="s">
        <v>276</v>
      </c>
      <c r="K2" s="790"/>
      <c r="L2" s="790"/>
      <c r="M2" s="279"/>
      <c r="N2" s="791" t="s">
        <v>277</v>
      </c>
      <c r="O2" s="791"/>
      <c r="P2" s="791"/>
      <c r="Q2" s="792" t="s">
        <v>278</v>
      </c>
      <c r="R2" s="792"/>
      <c r="S2" s="792"/>
      <c r="T2" s="279"/>
      <c r="U2" s="134" t="s">
        <v>524</v>
      </c>
      <c r="Y2" s="119"/>
      <c r="Z2" s="119"/>
      <c r="AA2" s="119"/>
      <c r="AB2" s="275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575" t="s">
        <v>408</v>
      </c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</row>
    <row r="3" spans="1:62" ht="36" x14ac:dyDescent="0.25">
      <c r="A3" s="7" t="s">
        <v>35</v>
      </c>
      <c r="B3" s="33" t="s">
        <v>36</v>
      </c>
      <c r="C3" s="32" t="s">
        <v>14</v>
      </c>
      <c r="D3" s="34" t="s">
        <v>4</v>
      </c>
      <c r="E3" s="279"/>
      <c r="F3" s="280" t="s">
        <v>279</v>
      </c>
      <c r="G3" s="281" t="s">
        <v>523</v>
      </c>
      <c r="H3" s="282" t="s">
        <v>281</v>
      </c>
      <c r="I3" s="279"/>
      <c r="J3" s="283" t="s">
        <v>279</v>
      </c>
      <c r="K3" s="283" t="s">
        <v>523</v>
      </c>
      <c r="L3" s="284" t="s">
        <v>282</v>
      </c>
      <c r="M3" s="279"/>
      <c r="N3" s="285" t="s">
        <v>279</v>
      </c>
      <c r="O3" s="285" t="s">
        <v>523</v>
      </c>
      <c r="P3" s="286" t="s">
        <v>283</v>
      </c>
      <c r="Q3" s="287" t="s">
        <v>279</v>
      </c>
      <c r="R3" s="287" t="s">
        <v>523</v>
      </c>
      <c r="S3" s="288" t="s">
        <v>284</v>
      </c>
      <c r="T3" s="279"/>
      <c r="U3" s="289" t="s">
        <v>525</v>
      </c>
      <c r="V3" s="289" t="s">
        <v>285</v>
      </c>
      <c r="W3" s="290" t="s">
        <v>212</v>
      </c>
      <c r="AB3" s="275" t="s">
        <v>463</v>
      </c>
      <c r="AR3" s="119"/>
      <c r="AS3" s="119"/>
      <c r="AT3" s="119"/>
      <c r="AU3" s="119"/>
      <c r="AV3" s="119"/>
    </row>
    <row r="4" spans="1:62" x14ac:dyDescent="0.25">
      <c r="A4" s="9">
        <v>15</v>
      </c>
      <c r="B4" s="9" t="s">
        <v>71</v>
      </c>
      <c r="C4" s="9" t="s">
        <v>66</v>
      </c>
      <c r="D4" s="29" t="s">
        <v>1</v>
      </c>
      <c r="E4" s="291"/>
      <c r="F4" s="292" t="s">
        <v>286</v>
      </c>
      <c r="G4" s="293" t="s">
        <v>287</v>
      </c>
      <c r="H4" s="294">
        <f>'App 7 - HH &amp; Capita'!G5</f>
        <v>5.0429596878449612</v>
      </c>
      <c r="I4" s="291"/>
      <c r="J4" s="295" t="s">
        <v>288</v>
      </c>
      <c r="K4" s="296" t="s">
        <v>287</v>
      </c>
      <c r="L4" s="297">
        <f>'App 7 - HH &amp; Capita'!L5</f>
        <v>3.2784981670983124</v>
      </c>
      <c r="M4" s="291"/>
      <c r="N4" s="298"/>
      <c r="O4" s="298"/>
      <c r="P4" s="299"/>
      <c r="Q4" s="300" t="s">
        <v>288</v>
      </c>
      <c r="R4" s="300" t="s">
        <v>289</v>
      </c>
      <c r="S4" s="301">
        <v>8.5977461567412643</v>
      </c>
      <c r="T4" s="291"/>
      <c r="U4" s="302">
        <f t="shared" ref="U4:U67" si="0">H4+L4+P4+S4</f>
        <v>16.919204011684538</v>
      </c>
      <c r="V4" s="138">
        <f>IF(AND(F4&lt;&gt;"",J4="",N4="",Q4=""),1,
IF(AND(F4&lt;&gt;"",J4&lt;&gt;"",N4="",Q4=""),2,
IF(AND(F4&lt;&gt;"",J4&lt;&gt;"",N4&lt;&gt;"",Q4=""),3,
IF(AND(F4&lt;&gt;"",J4&lt;&gt;"",N4="",Q4&lt;&gt;""),4,
IF(AND(F4&lt;&gt;"",J4&lt;&gt;"",N4&lt;&gt;"",Q4&lt;&gt;""),5,
)
))))</f>
        <v>4</v>
      </c>
      <c r="W4" s="303">
        <f>'App 3 - Recycling Rate'!S5</f>
        <v>0.73164326558265236</v>
      </c>
      <c r="AR4" s="119"/>
      <c r="AS4" s="119"/>
      <c r="AT4" s="119"/>
      <c r="AU4" s="119"/>
      <c r="AV4" s="119"/>
    </row>
    <row r="5" spans="1:62" x14ac:dyDescent="0.25">
      <c r="A5" s="8">
        <v>118</v>
      </c>
      <c r="B5" s="8" t="s">
        <v>72</v>
      </c>
      <c r="C5" s="8" t="s">
        <v>16</v>
      </c>
      <c r="D5" s="29" t="s">
        <v>1</v>
      </c>
      <c r="E5" s="291"/>
      <c r="F5" s="292" t="s">
        <v>286</v>
      </c>
      <c r="G5" s="293" t="s">
        <v>289</v>
      </c>
      <c r="H5" s="294">
        <f>'App 7 - HH &amp; Capita'!G6</f>
        <v>10.314238021998849</v>
      </c>
      <c r="I5" s="291"/>
      <c r="J5" s="295" t="s">
        <v>471</v>
      </c>
      <c r="K5" s="296" t="s">
        <v>289</v>
      </c>
      <c r="L5" s="297">
        <f>'App 7 - HH &amp; Capita'!L6</f>
        <v>5.5560151619987357</v>
      </c>
      <c r="M5" s="291"/>
      <c r="N5" s="298"/>
      <c r="O5" s="298"/>
      <c r="P5" s="299"/>
      <c r="Q5" s="300" t="s">
        <v>288</v>
      </c>
      <c r="R5" s="300" t="s">
        <v>287</v>
      </c>
      <c r="S5" s="301">
        <v>5.9659544582899997</v>
      </c>
      <c r="T5" s="291"/>
      <c r="U5" s="302">
        <f t="shared" si="0"/>
        <v>21.836207642287583</v>
      </c>
      <c r="V5" s="138">
        <f t="shared" ref="V5:V68" si="1">IF(AND(F5&lt;&gt;"",J5="",N5="",Q5=""),1,
IF(AND(F5&lt;&gt;"",J5&lt;&gt;"",N5="",Q5=""),2,
IF(AND(F5&lt;&gt;"",J5&lt;&gt;"",N5&lt;&gt;"",Q5=""),3,
IF(AND(F5&lt;&gt;"",J5&lt;&gt;"",N5="",Q5&lt;&gt;""),4,
IF(AND(F5&lt;&gt;"",J5&lt;&gt;"",N5&lt;&gt;"",Q5&lt;&gt;""),5,
)
))))</f>
        <v>4</v>
      </c>
      <c r="W5" s="303">
        <f>'App 3 - Recycling Rate'!S6</f>
        <v>0.43738210164225477</v>
      </c>
      <c r="Z5" s="782" t="s">
        <v>409</v>
      </c>
      <c r="AA5" s="782"/>
      <c r="AB5" s="782"/>
      <c r="AC5" s="782"/>
      <c r="AD5" s="782"/>
      <c r="AE5" s="782"/>
      <c r="AF5" s="782"/>
      <c r="AG5" s="782"/>
      <c r="AH5" s="782"/>
      <c r="AI5" s="782"/>
      <c r="AJ5" s="782"/>
      <c r="AK5" s="782"/>
      <c r="AL5" s="782"/>
      <c r="AM5" s="782"/>
      <c r="AN5" s="782"/>
      <c r="AO5" s="782"/>
      <c r="AP5" s="782"/>
      <c r="AQ5" s="576"/>
    </row>
    <row r="6" spans="1:62" x14ac:dyDescent="0.25">
      <c r="A6" s="8">
        <v>125</v>
      </c>
      <c r="B6" s="8" t="s">
        <v>73</v>
      </c>
      <c r="C6" s="8" t="s">
        <v>19</v>
      </c>
      <c r="D6" s="29" t="s">
        <v>3</v>
      </c>
      <c r="E6" s="291"/>
      <c r="F6" s="292" t="s">
        <v>288</v>
      </c>
      <c r="G6" s="293" t="s">
        <v>287</v>
      </c>
      <c r="H6" s="294">
        <f>'App 7 - HH &amp; Capita'!G7</f>
        <v>8.7387084104808395</v>
      </c>
      <c r="I6" s="291"/>
      <c r="J6" s="295" t="s">
        <v>288</v>
      </c>
      <c r="K6" s="296" t="s">
        <v>287</v>
      </c>
      <c r="L6" s="297">
        <f>'App 7 - HH &amp; Capita'!L7</f>
        <v>4.742269917988768</v>
      </c>
      <c r="M6" s="291"/>
      <c r="N6" s="298"/>
      <c r="O6" s="298"/>
      <c r="P6" s="299"/>
      <c r="Q6" s="300" t="s">
        <v>288</v>
      </c>
      <c r="R6" s="300" t="s">
        <v>289</v>
      </c>
      <c r="S6" s="301">
        <v>9.4998263285863143</v>
      </c>
      <c r="T6" s="291"/>
      <c r="U6" s="302">
        <f t="shared" si="0"/>
        <v>22.98080465705592</v>
      </c>
      <c r="V6" s="138">
        <f t="shared" si="1"/>
        <v>4</v>
      </c>
      <c r="W6" s="303">
        <f>'App 3 - Recycling Rate'!S7</f>
        <v>0.55509856592799334</v>
      </c>
      <c r="Z6" s="576"/>
      <c r="AA6" s="576"/>
      <c r="AB6" s="783" t="s">
        <v>458</v>
      </c>
      <c r="AC6" s="783"/>
      <c r="AD6" s="783"/>
      <c r="AE6" s="783" t="s">
        <v>460</v>
      </c>
      <c r="AF6" s="783"/>
      <c r="AG6" s="783"/>
      <c r="AH6" s="783" t="s">
        <v>463</v>
      </c>
      <c r="AI6" s="783"/>
      <c r="AJ6" s="783"/>
      <c r="AK6" s="783" t="s">
        <v>7</v>
      </c>
      <c r="AL6" s="783"/>
      <c r="AM6" s="783"/>
      <c r="AO6" s="577" t="s">
        <v>410</v>
      </c>
      <c r="BH6" s="119"/>
      <c r="BI6" s="119"/>
      <c r="BJ6" s="119"/>
    </row>
    <row r="7" spans="1:62" x14ac:dyDescent="0.25">
      <c r="A7" s="8">
        <v>13</v>
      </c>
      <c r="B7" s="8" t="s">
        <v>74</v>
      </c>
      <c r="C7" s="8" t="s">
        <v>66</v>
      </c>
      <c r="D7" s="29" t="s">
        <v>1</v>
      </c>
      <c r="E7" s="291"/>
      <c r="F7" s="292" t="s">
        <v>288</v>
      </c>
      <c r="G7" s="293" t="s">
        <v>289</v>
      </c>
      <c r="H7" s="294">
        <f>'App 7 - HH &amp; Capita'!G8</f>
        <v>6.3798760481224939</v>
      </c>
      <c r="I7" s="291"/>
      <c r="J7" s="295"/>
      <c r="K7" s="296"/>
      <c r="L7" s="297"/>
      <c r="M7" s="291"/>
      <c r="N7" s="298"/>
      <c r="O7" s="298"/>
      <c r="P7" s="299"/>
      <c r="Q7" s="300"/>
      <c r="R7" s="300"/>
      <c r="S7" s="301"/>
      <c r="T7" s="291"/>
      <c r="U7" s="302">
        <f t="shared" si="0"/>
        <v>6.3798760481224939</v>
      </c>
      <c r="V7" s="138">
        <f t="shared" si="1"/>
        <v>1</v>
      </c>
      <c r="W7" s="303">
        <f>'App 3 - Recycling Rate'!S8</f>
        <v>8.5875470121186806E-2</v>
      </c>
      <c r="Z7" s="578"/>
      <c r="AA7" s="578"/>
      <c r="AB7" s="786" t="s">
        <v>1</v>
      </c>
      <c r="AC7" s="787" t="s">
        <v>412</v>
      </c>
      <c r="AD7" s="787"/>
      <c r="AE7" s="786" t="s">
        <v>1</v>
      </c>
      <c r="AF7" s="787" t="s">
        <v>412</v>
      </c>
      <c r="AG7" s="787"/>
      <c r="AH7" s="786" t="s">
        <v>1</v>
      </c>
      <c r="AI7" s="787" t="s">
        <v>412</v>
      </c>
      <c r="AJ7" s="787"/>
      <c r="AK7" s="786" t="s">
        <v>1</v>
      </c>
      <c r="AL7" s="787" t="s">
        <v>412</v>
      </c>
      <c r="AM7" s="787"/>
      <c r="AO7" s="781" t="s">
        <v>411</v>
      </c>
      <c r="AP7" s="781"/>
      <c r="AQ7" s="781"/>
      <c r="AR7" s="394"/>
      <c r="BH7" s="119"/>
      <c r="BI7" s="119"/>
      <c r="BJ7" s="119"/>
    </row>
    <row r="8" spans="1:62" x14ac:dyDescent="0.25">
      <c r="A8" s="8">
        <v>147</v>
      </c>
      <c r="B8" s="8" t="s">
        <v>75</v>
      </c>
      <c r="C8" s="8" t="s">
        <v>38</v>
      </c>
      <c r="D8" s="29" t="s">
        <v>1</v>
      </c>
      <c r="E8" s="291"/>
      <c r="F8" s="292" t="s">
        <v>288</v>
      </c>
      <c r="G8" s="293" t="s">
        <v>289</v>
      </c>
      <c r="H8" s="294">
        <f>'App 7 - HH &amp; Capita'!G9</f>
        <v>11.547559477778282</v>
      </c>
      <c r="I8" s="291"/>
      <c r="J8" s="295" t="s">
        <v>288</v>
      </c>
      <c r="K8" s="296" t="s">
        <v>287</v>
      </c>
      <c r="L8" s="297">
        <f>'App 7 - HH &amp; Capita'!L9</f>
        <v>2.6446100444207099</v>
      </c>
      <c r="M8" s="291"/>
      <c r="N8" s="298"/>
      <c r="O8" s="298"/>
      <c r="P8" s="299"/>
      <c r="Q8" s="300" t="s">
        <v>288</v>
      </c>
      <c r="R8" s="300" t="s">
        <v>289</v>
      </c>
      <c r="S8" s="301">
        <v>6.3585931195185692</v>
      </c>
      <c r="T8" s="291"/>
      <c r="U8" s="302">
        <f t="shared" si="0"/>
        <v>20.550762641717562</v>
      </c>
      <c r="V8" s="138">
        <f t="shared" si="1"/>
        <v>4</v>
      </c>
      <c r="W8" s="303">
        <f>'App 3 - Recycling Rate'!S9</f>
        <v>0.51876139497973894</v>
      </c>
      <c r="Z8" s="581" t="s">
        <v>285</v>
      </c>
      <c r="AA8" s="581" t="s">
        <v>280</v>
      </c>
      <c r="AB8" s="786"/>
      <c r="AC8" s="581" t="s">
        <v>376</v>
      </c>
      <c r="AD8" s="581" t="s">
        <v>282</v>
      </c>
      <c r="AE8" s="786"/>
      <c r="AF8" s="581" t="s">
        <v>376</v>
      </c>
      <c r="AG8" s="581" t="s">
        <v>282</v>
      </c>
      <c r="AH8" s="786"/>
      <c r="AI8" s="581" t="s">
        <v>376</v>
      </c>
      <c r="AJ8" s="581" t="s">
        <v>282</v>
      </c>
      <c r="AK8" s="786"/>
      <c r="AL8" s="581" t="s">
        <v>376</v>
      </c>
      <c r="AM8" s="581" t="s">
        <v>282</v>
      </c>
      <c r="AN8" s="582"/>
      <c r="AO8" s="579" t="s">
        <v>285</v>
      </c>
      <c r="AP8" s="579" t="s">
        <v>280</v>
      </c>
      <c r="AQ8" s="579" t="s">
        <v>282</v>
      </c>
      <c r="AR8" s="580" t="s">
        <v>26</v>
      </c>
      <c r="BH8" s="119"/>
      <c r="BI8" s="119"/>
      <c r="BJ8" s="119"/>
    </row>
    <row r="9" spans="1:62" x14ac:dyDescent="0.25">
      <c r="A9" s="8">
        <v>15</v>
      </c>
      <c r="B9" s="8" t="s">
        <v>405</v>
      </c>
      <c r="C9" s="8" t="s">
        <v>17</v>
      </c>
      <c r="D9" s="29" t="s">
        <v>2</v>
      </c>
      <c r="E9" s="291"/>
      <c r="F9" s="292" t="s">
        <v>288</v>
      </c>
      <c r="G9" s="293" t="s">
        <v>473</v>
      </c>
      <c r="H9" s="294">
        <f>'App 7 - HH &amp; Capita'!G1</f>
        <v>0</v>
      </c>
      <c r="I9" s="291"/>
      <c r="J9" s="295" t="s">
        <v>288</v>
      </c>
      <c r="K9" s="296" t="s">
        <v>287</v>
      </c>
      <c r="L9" s="297">
        <f>'App 7 - HH &amp; Capita'!L1</f>
        <v>0</v>
      </c>
      <c r="M9" s="291"/>
      <c r="N9" s="298" t="s">
        <v>288</v>
      </c>
      <c r="O9" s="298" t="s">
        <v>287</v>
      </c>
      <c r="P9" s="299">
        <v>2.4271961749485</v>
      </c>
      <c r="Q9" s="300"/>
      <c r="R9" s="300"/>
      <c r="S9" s="301"/>
      <c r="T9" s="291"/>
      <c r="U9" s="302">
        <f t="shared" si="0"/>
        <v>2.4271961749485</v>
      </c>
      <c r="V9" s="138">
        <f t="shared" si="1"/>
        <v>3</v>
      </c>
      <c r="W9" s="303">
        <f>'App 3 - Recycling Rate'!S1</f>
        <v>0</v>
      </c>
      <c r="Y9" s="376" t="str">
        <f t="shared" ref="Y9:Y13" si="2">Z9&amp;"I"&amp;AA9</f>
        <v>120LIWeekly</v>
      </c>
      <c r="Z9" s="583" t="s">
        <v>290</v>
      </c>
      <c r="AA9" s="583" t="s">
        <v>289</v>
      </c>
      <c r="AB9" s="587" cm="1">
        <f t="array" ref="AB9">SUMPRODUCT(--($J$4:$J$131="120L")*--($K$4:$K$131="Weekly")*--($D$4:$D$131="S")*--($L$4:$L$131&gt;0))</f>
        <v>1</v>
      </c>
      <c r="AC9" s="587" cm="1">
        <f t="array" ref="AC9">SUMPRODUCT(--($J$4:$J$131="120L")*--($K$4:$K$131="Weekly")*--($D$4:$D$131="S"),$L$4:$L$131)</f>
        <v>3.6734597156398103</v>
      </c>
      <c r="AD9" s="583">
        <f>AC9/AB9</f>
        <v>3.6734597156398103</v>
      </c>
      <c r="AE9" s="587" cm="1">
        <f t="array" ref="AE9">SUMPRODUCT(--($J$4:$J$131="120L")*--($K$4:$K$131="Weekly")*--($D$4:$D$131="R")*--($L$4:$L$131&gt;0))</f>
        <v>0</v>
      </c>
      <c r="AF9" s="587" cm="1">
        <f t="array" ref="AF9">SUMPRODUCT(--($J$4:$J$131="120L")*--($K$4:$K$131="Weekly")*--($D$4:$D$131="R"),($L$4:$L$131))</f>
        <v>0</v>
      </c>
      <c r="AG9" s="583"/>
      <c r="AH9" s="587" cm="1">
        <f t="array" ref="AH9">SUMPRODUCT(--($J$4:$J$131="120L")*--($K$4:$K$131="Weekly")*--($D$4:$D$131="N")*--($L$4:$L$131&gt;0))</f>
        <v>0</v>
      </c>
      <c r="AI9" s="587" cm="1">
        <f t="array" ref="AI9">SUMPRODUCT(--($J$4:$J$131="120L")*--($K$4:$K$131="Weekly")*--($D$4:$D$131="N"),($L$4:$L$131))</f>
        <v>0</v>
      </c>
      <c r="AJ9" s="583" t="s">
        <v>419</v>
      </c>
      <c r="AK9" s="587" cm="1">
        <f t="array" ref="AK9">SUMPRODUCT(--($J$4:$J$131="120L")*--($K$4:$K$131="Weekly"))</f>
        <v>2</v>
      </c>
      <c r="AL9" s="587" cm="1">
        <f t="array" ref="AL9">SUMPRODUCT(--($J$4:$J$131="120L")*--($K$4:$K$131="Weekly")*--($L$4:$L$131))</f>
        <v>3.6734597156398103</v>
      </c>
      <c r="AM9" s="583">
        <f>AL9/AK9</f>
        <v>1.8367298578199052</v>
      </c>
      <c r="AN9" s="582"/>
      <c r="AO9" s="583" t="str">
        <f t="shared" ref="AO9:AO20" si="3">Z9</f>
        <v>120L</v>
      </c>
      <c r="AP9" s="583" t="str">
        <f t="shared" ref="AP9:AP20" si="4">AA9</f>
        <v>Weekly</v>
      </c>
      <c r="AQ9" s="584">
        <f>AM9</f>
        <v>1.8367298578199052</v>
      </c>
      <c r="AR9" s="585">
        <f>AK9</f>
        <v>2</v>
      </c>
      <c r="AS9" s="586"/>
      <c r="BH9" s="119"/>
      <c r="BI9" s="119"/>
      <c r="BJ9" s="119"/>
    </row>
    <row r="10" spans="1:62" x14ac:dyDescent="0.25">
      <c r="A10" s="8">
        <v>10550</v>
      </c>
      <c r="B10" s="8" t="s">
        <v>76</v>
      </c>
      <c r="C10" s="8" t="s">
        <v>67</v>
      </c>
      <c r="D10" s="29" t="s">
        <v>1</v>
      </c>
      <c r="E10" s="291"/>
      <c r="F10" s="292" t="s">
        <v>286</v>
      </c>
      <c r="G10" s="293" t="s">
        <v>287</v>
      </c>
      <c r="H10" s="294">
        <f>'App 7 - HH &amp; Capita'!G11</f>
        <v>8.4829569026232754</v>
      </c>
      <c r="I10" s="291"/>
      <c r="J10" s="295" t="s">
        <v>288</v>
      </c>
      <c r="K10" s="296" t="s">
        <v>287</v>
      </c>
      <c r="L10" s="297">
        <f>'App 7 - HH &amp; Capita'!L11</f>
        <v>4.2866835255659037</v>
      </c>
      <c r="M10" s="291"/>
      <c r="N10" s="298"/>
      <c r="O10" s="298"/>
      <c r="P10" s="299"/>
      <c r="Q10" s="300" t="s">
        <v>288</v>
      </c>
      <c r="R10" s="300" t="s">
        <v>289</v>
      </c>
      <c r="S10" s="301">
        <v>8.6398652893700003</v>
      </c>
      <c r="T10" s="291"/>
      <c r="U10" s="302">
        <f t="shared" si="0"/>
        <v>21.409505717559178</v>
      </c>
      <c r="V10" s="138">
        <f t="shared" si="1"/>
        <v>4</v>
      </c>
      <c r="W10" s="303">
        <f>'App 3 - Recycling Rate'!S11</f>
        <v>0.4529112884105358</v>
      </c>
      <c r="Y10" s="376" t="str">
        <f t="shared" si="2"/>
        <v>140LIWeekly</v>
      </c>
      <c r="Z10" s="583" t="s">
        <v>286</v>
      </c>
      <c r="AA10" s="583" t="s">
        <v>289</v>
      </c>
      <c r="AB10" s="587" cm="1">
        <f t="array" ref="AB10">SUMPRODUCT(--($J$4:$J$131="140L")*--($K$4:$K$131="Weekly")*--($D$4:$D$131="S")*--($L$4:$L$131&gt;0))</f>
        <v>2</v>
      </c>
      <c r="AC10" s="587" cm="1">
        <f t="array" ref="AC10">SUMPRODUCT(--($J$4:$J$131="140L")*--($K$4:$K$131="Weekly")*--($D$4:$D$131="S"),$L$4:$L$131)</f>
        <v>19.395907518516374</v>
      </c>
      <c r="AD10" s="583">
        <f t="shared" ref="AD10:AD11" si="5">AC10/AB10</f>
        <v>9.697953759258187</v>
      </c>
      <c r="AE10" s="587" cm="1">
        <f t="array" ref="AE10">SUMPRODUCT(--($J$4:$J$131="140L")*--($K$4:$K$131="Weekly")*--($D$4:$D$131="R")*--($L$4:$L$131&gt;0))</f>
        <v>0</v>
      </c>
      <c r="AF10" s="587" cm="1">
        <f t="array" ref="AF10">SUMPRODUCT(--($J$4:$J$131="140L")*--($K$4:$K$131="Weekly")*--($D$4:$D$131="R"),$L$4:$L$131)</f>
        <v>0</v>
      </c>
      <c r="AG10" s="583"/>
      <c r="AH10" s="587" cm="1">
        <f t="array" ref="AH10">SUMPRODUCT(--($J$4:$J$131="140L")*--($K$4:$K$131="Weekly")*--($D$4:$D$131="N")*--($L$4:$L$131&gt;0))</f>
        <v>0</v>
      </c>
      <c r="AI10" s="587" cm="1">
        <f t="array" ref="AI10">SUMPRODUCT(--($J$4:$J$131="140L")*--($K$4:$K$131="Weekly")*--($D$4:$D$131="N"),$L$4:$L$131)</f>
        <v>0</v>
      </c>
      <c r="AJ10" s="583"/>
      <c r="AK10" s="587" cm="1">
        <f t="array" ref="AK10">SUMPRODUCT(--($J$4:$J$131="140L")*--($K$4:$K$131="Weekly"))</f>
        <v>2</v>
      </c>
      <c r="AL10" s="587" cm="1">
        <f t="array" ref="AL10">SUMPRODUCT(--($J$4:$J$131="140L")*--($K$4:$K$131="Weekly")*--($L$4:$L$131))</f>
        <v>19.395907518516374</v>
      </c>
      <c r="AM10" s="583">
        <f t="shared" ref="AM10:AM19" si="6">AL10/AK10</f>
        <v>9.697953759258187</v>
      </c>
      <c r="AN10" s="582"/>
      <c r="AO10" s="583" t="str">
        <f t="shared" si="3"/>
        <v>140L</v>
      </c>
      <c r="AP10" s="583" t="str">
        <f t="shared" si="4"/>
        <v>Weekly</v>
      </c>
      <c r="AQ10" s="584">
        <f t="shared" ref="AQ10:AQ20" si="7">AM10</f>
        <v>9.697953759258187</v>
      </c>
      <c r="AR10" s="585">
        <f t="shared" ref="AR10:AR20" si="8">AK10</f>
        <v>2</v>
      </c>
      <c r="AS10" s="586"/>
      <c r="BH10" s="119"/>
      <c r="BI10" s="119"/>
      <c r="BJ10" s="119"/>
    </row>
    <row r="11" spans="1:62" x14ac:dyDescent="0.25">
      <c r="A11" s="8">
        <v>10600</v>
      </c>
      <c r="B11" s="8" t="s">
        <v>44</v>
      </c>
      <c r="C11" s="8" t="s">
        <v>39</v>
      </c>
      <c r="D11" s="29" t="s">
        <v>3</v>
      </c>
      <c r="E11" s="291"/>
      <c r="F11" s="292" t="s">
        <v>288</v>
      </c>
      <c r="G11" s="293" t="s">
        <v>287</v>
      </c>
      <c r="H11" s="294">
        <f>'App 7 - HH &amp; Capita'!G12</f>
        <v>3.0076082897684842</v>
      </c>
      <c r="I11" s="291"/>
      <c r="J11" s="295" t="s">
        <v>288</v>
      </c>
      <c r="K11" s="296" t="s">
        <v>287</v>
      </c>
      <c r="L11" s="297">
        <f>'App 7 - HH &amp; Capita'!L12</f>
        <v>4.210791635548917</v>
      </c>
      <c r="M11" s="291"/>
      <c r="N11" s="298"/>
      <c r="O11" s="298"/>
      <c r="P11" s="299"/>
      <c r="Q11" s="300" t="s">
        <v>288</v>
      </c>
      <c r="R11" s="300" t="s">
        <v>289</v>
      </c>
      <c r="S11" s="301">
        <v>8.1945481727632998</v>
      </c>
      <c r="T11" s="291"/>
      <c r="U11" s="302">
        <f t="shared" si="0"/>
        <v>15.412948098080701</v>
      </c>
      <c r="V11" s="138">
        <f t="shared" si="1"/>
        <v>4</v>
      </c>
      <c r="W11" s="303">
        <f>'App 3 - Recycling Rate'!S12</f>
        <v>0.64263012924641572</v>
      </c>
      <c r="Y11" s="376" t="str">
        <f t="shared" si="2"/>
        <v>240LIWeekly</v>
      </c>
      <c r="Z11" s="583" t="s">
        <v>288</v>
      </c>
      <c r="AA11" s="583" t="s">
        <v>289</v>
      </c>
      <c r="AB11" s="587" cm="1">
        <f t="array" ref="AB11">SUMPRODUCT(--($J$4:$J$131="240L")*--($K$4:$K$131="Weekly")*--($D$4:$D$131="S")*--($L$4:$L$131&gt;0))</f>
        <v>4</v>
      </c>
      <c r="AC11" s="587" cm="1">
        <f t="array" ref="AC11">SUMPRODUCT(--($J$4:$J$131="240L")*--($K$4:$K$131="Weekly")*--($D$4:$D$131="S"),$L$4:$L$131)</f>
        <v>16.890601479827861</v>
      </c>
      <c r="AD11" s="583">
        <f t="shared" si="5"/>
        <v>4.2226503699569653</v>
      </c>
      <c r="AE11" s="587" cm="1">
        <f t="array" ref="AE11">SUMPRODUCT(--($J$4:$J$131="240L")*--($K$4:$K$131="Weekly")*--($D$4:$D$131="R")*--($L$4:$L$131&gt;0))</f>
        <v>0</v>
      </c>
      <c r="AF11" s="587" cm="1">
        <f t="array" ref="AF11">SUMPRODUCT(--($J$4:$J$131="240L")*--($K$4:$K$131="Weekly")*--($D$4:$D$131="R"),$L$4:$L$131)</f>
        <v>0</v>
      </c>
      <c r="AG11" s="583"/>
      <c r="AH11" s="587" cm="1">
        <f t="array" ref="AH11">SUMPRODUCT(--($J$4:$J$131="240L")*--($K$4:$K$131="Weekly")*--($D$4:$D$131="N")*--($L$4:$L$131&gt;0))</f>
        <v>4</v>
      </c>
      <c r="AI11" s="587" cm="1">
        <f t="array" ref="AI11">SUMPRODUCT(--($J$4:$J$131="240L")*--($K$4:$K$131="Weekly")*--($D$4:$D$131="N"),$L$4:$L$131)</f>
        <v>48.080902489979408</v>
      </c>
      <c r="AJ11" s="583">
        <f>AI11/AH11</f>
        <v>12.020225622494852</v>
      </c>
      <c r="AK11" s="587" cm="1">
        <f t="array" ref="AK11">SUMPRODUCT(--($J$4:$J$131="240L")*--($K$4:$K$131="Weekly"))</f>
        <v>8</v>
      </c>
      <c r="AL11" s="587" cm="1">
        <f t="array" ref="AL11">SUMPRODUCT(--($J$4:$J$131="240L")*--($K$4:$K$131="Weekly")*--($L$4:$L$131))</f>
        <v>64.971503969807273</v>
      </c>
      <c r="AM11" s="583">
        <f t="shared" si="6"/>
        <v>8.1214379962259091</v>
      </c>
      <c r="AN11" s="582"/>
      <c r="AO11" s="583" t="str">
        <f t="shared" si="3"/>
        <v>240L</v>
      </c>
      <c r="AP11" s="583" t="str">
        <f t="shared" si="4"/>
        <v>Weekly</v>
      </c>
      <c r="AQ11" s="584">
        <f t="shared" si="7"/>
        <v>8.1214379962259091</v>
      </c>
      <c r="AR11" s="585">
        <f t="shared" si="8"/>
        <v>8</v>
      </c>
      <c r="AS11" s="586"/>
      <c r="BH11" s="119"/>
      <c r="BI11" s="119"/>
      <c r="BJ11" s="119"/>
    </row>
    <row r="12" spans="1:62" x14ac:dyDescent="0.25">
      <c r="A12" s="8">
        <v>10650</v>
      </c>
      <c r="B12" s="8" t="s">
        <v>77</v>
      </c>
      <c r="C12" s="8" t="s">
        <v>66</v>
      </c>
      <c r="D12" s="29" t="s">
        <v>1</v>
      </c>
      <c r="E12" s="291"/>
      <c r="F12" s="292" t="s">
        <v>290</v>
      </c>
      <c r="G12" s="293" t="s">
        <v>289</v>
      </c>
      <c r="H12" s="294">
        <f>'App 7 - HH &amp; Capita'!G13</f>
        <v>9.9516199801399434</v>
      </c>
      <c r="I12" s="291"/>
      <c r="J12" s="295" t="s">
        <v>288</v>
      </c>
      <c r="K12" s="296" t="s">
        <v>287</v>
      </c>
      <c r="L12" s="297">
        <f>'App 7 - HH &amp; Capita'!L13</f>
        <v>3.2963518732626507</v>
      </c>
      <c r="M12" s="291"/>
      <c r="N12" s="298"/>
      <c r="O12" s="298"/>
      <c r="P12" s="299"/>
      <c r="Q12" s="300"/>
      <c r="R12" s="300"/>
      <c r="S12" s="301"/>
      <c r="T12" s="291"/>
      <c r="U12" s="302">
        <f t="shared" si="0"/>
        <v>13.247971853402595</v>
      </c>
      <c r="V12" s="138">
        <f t="shared" si="1"/>
        <v>2</v>
      </c>
      <c r="W12" s="303">
        <f>'App 3 - Recycling Rate'!S13</f>
        <v>0.50293981588564551</v>
      </c>
      <c r="Y12" s="376" t="str">
        <f t="shared" si="2"/>
        <v>240L Split (W/R)IWeekly</v>
      </c>
      <c r="Z12" s="588" t="s">
        <v>413</v>
      </c>
      <c r="AA12" s="583" t="s">
        <v>289</v>
      </c>
      <c r="AB12" s="587" cm="1">
        <f t="array" ref="AB12">SUMPRODUCT(--($J$4:$J$131="240Sp")*--($K$4:$K$131="Weekly")*--($D$4:$D$131="S")*--($L$4:$L$131&gt;0))</f>
        <v>0</v>
      </c>
      <c r="AC12" s="587" cm="1">
        <f t="array" ref="AC12">SUMPRODUCT(--($J$4:$J$131="240Sp")*--($K$4:$K$131="Weekly")*--($D$4:$D$131="S"),$L$4:$L$131)</f>
        <v>0</v>
      </c>
      <c r="AD12" s="583"/>
      <c r="AE12" s="587" cm="1">
        <f t="array" ref="AE12">SUMPRODUCT(--($J$4:$J$131="240Sp")*--($K$4:$K$131="Weekly")*--($D$4:$D$131="R")*--($L$4:$L$131&gt;0))</f>
        <v>0</v>
      </c>
      <c r="AF12" s="587" cm="1">
        <f t="array" ref="AF12">SUMPRODUCT(--($J$4:$J$131="240Sp")*--($K$4:$K$131="Weekly")*--($D$4:$D$131="R"),$L$4:$L$131)</f>
        <v>0</v>
      </c>
      <c r="AG12" s="583"/>
      <c r="AH12" s="587" cm="1">
        <f t="array" ref="AH12">SUMPRODUCT(--($J$4:$J$131="240Sp")*--($K$4:$K$131="Weekly")*--($D$4:$D$131="N")*--($L$4:$L$131&gt;0))</f>
        <v>0</v>
      </c>
      <c r="AI12" s="587" cm="1">
        <f t="array" ref="AI12">SUMPRODUCT(--($J$4:$J$131="240sp")*--($K$4:$K$131="Weekly")*--($D$4:$D$131="N"),$L$4:$L$131)</f>
        <v>0</v>
      </c>
      <c r="AJ12" s="583"/>
      <c r="AK12" s="587" cm="1">
        <f t="array" ref="AK12">SUMPRODUCT(--($J$4:$J$131="240Sp")*--($K$4:$K$131="Weekly"))</f>
        <v>0</v>
      </c>
      <c r="AL12" s="587" cm="1">
        <f t="array" ref="AL12">SUMPRODUCT(--($J$4:$J$131="240Sp")*--($K$4:$K$131="Weekly")*--($L$4:$L$131))</f>
        <v>0</v>
      </c>
      <c r="AM12" s="583" t="s">
        <v>419</v>
      </c>
      <c r="AN12" s="582"/>
      <c r="AO12" s="583" t="str">
        <f t="shared" si="3"/>
        <v>240L Split (W/R)</v>
      </c>
      <c r="AP12" s="583" t="str">
        <f t="shared" si="4"/>
        <v>Weekly</v>
      </c>
      <c r="AQ12" s="584" t="str">
        <f t="shared" si="7"/>
        <v>-</v>
      </c>
      <c r="AR12" s="585">
        <f t="shared" si="8"/>
        <v>0</v>
      </c>
      <c r="AS12" s="586"/>
      <c r="BH12" s="119"/>
      <c r="BI12" s="119"/>
      <c r="BJ12" s="119"/>
    </row>
    <row r="13" spans="1:62" x14ac:dyDescent="0.25">
      <c r="A13" s="8">
        <v>10750</v>
      </c>
      <c r="B13" s="8" t="s">
        <v>45</v>
      </c>
      <c r="C13" s="8" t="s">
        <v>18</v>
      </c>
      <c r="D13" s="29" t="s">
        <v>2</v>
      </c>
      <c r="E13" s="291"/>
      <c r="F13" s="292" t="s">
        <v>288</v>
      </c>
      <c r="G13" s="293" t="s">
        <v>289</v>
      </c>
      <c r="H13" s="294">
        <f>'App 7 - HH &amp; Capita'!G14</f>
        <v>17.472146920099661</v>
      </c>
      <c r="I13" s="291"/>
      <c r="J13" s="295" t="s">
        <v>288</v>
      </c>
      <c r="K13" s="296" t="s">
        <v>287</v>
      </c>
      <c r="L13" s="297">
        <f>'App 7 - HH &amp; Capita'!L14</f>
        <v>3.1710986100882215</v>
      </c>
      <c r="M13" s="291"/>
      <c r="N13" s="298"/>
      <c r="O13" s="298"/>
      <c r="P13" s="299"/>
      <c r="Q13" s="300"/>
      <c r="R13" s="300"/>
      <c r="S13" s="301"/>
      <c r="T13" s="291"/>
      <c r="U13" s="302">
        <f t="shared" si="0"/>
        <v>20.643245530187883</v>
      </c>
      <c r="V13" s="138">
        <f t="shared" si="1"/>
        <v>2</v>
      </c>
      <c r="W13" s="303">
        <f>'App 3 - Recycling Rate'!S14</f>
        <v>0.91322851026188478</v>
      </c>
      <c r="Y13" s="376" t="str">
        <f t="shared" si="2"/>
        <v>CrateIWeekly</v>
      </c>
      <c r="Z13" s="590" t="s">
        <v>471</v>
      </c>
      <c r="AA13" s="589" t="s">
        <v>289</v>
      </c>
      <c r="AB13" s="587" cm="1">
        <f t="array" ref="AB13">SUMPRODUCT(--($J$4:$J$131="Crate")*--($K$4:$K$131="Weekly")*--($D$4:$D$131="S")*--($L$4:$L$131&gt;0))</f>
        <v>0</v>
      </c>
      <c r="AC13" s="587" cm="1">
        <f t="array" ref="AC13">SUMPRODUCT(--($J$4:$J$131="Crate")*--($K$4:$K$131="Weekly")*--($D$4:$D$131="S"),$L$4:$L$131)</f>
        <v>0</v>
      </c>
      <c r="AD13" s="583"/>
      <c r="AE13" s="587" cm="1">
        <f t="array" ref="AE13">SUMPRODUCT(--($J$4:$J$131="Crate")*--($K$4:$K$131="Weekly")*--($D$4:$D$131="R")*--($L$4:$L$131&gt;0))</f>
        <v>0</v>
      </c>
      <c r="AF13" s="587" cm="1">
        <f t="array" ref="AF13">SUMPRODUCT(--($J$4:$J$131="Crate")*--($K$4:$K$131="Weekly")*--($D$4:$D$131="R"),$L$4:$L$131)</f>
        <v>0</v>
      </c>
      <c r="AG13" s="583"/>
      <c r="AH13" s="587" cm="1">
        <f t="array" ref="AH13">SUMPRODUCT(--($J$4:$J$131="Crate")*--($K$4:$K$131="Weekly")*--($D$4:$D$131="N")*--($L$4:$L$131&gt;0))</f>
        <v>1</v>
      </c>
      <c r="AI13" s="587" cm="1">
        <f t="array" ref="AI13">SUMPRODUCT(--($J$4:$J$131="Crate")*--($K$4:$K$131="Weekly")*--($D$4:$D$131="N"),$L$4:$L$131)</f>
        <v>5.5560151619987357</v>
      </c>
      <c r="AJ13" s="583"/>
      <c r="AK13" s="587" cm="1">
        <f t="array" ref="AK13">SUMPRODUCT(--($J$4:$J$131="Crate")*--($K$4:$K$131="Weekly"))</f>
        <v>1</v>
      </c>
      <c r="AL13" s="587" cm="1">
        <f t="array" ref="AL13">SUMPRODUCT(--($J$4:$J$131="Crate")*--($K$4:$K$131="Weekly")*--($L$4:$L$131))</f>
        <v>5.5560151619987357</v>
      </c>
      <c r="AM13" s="583">
        <f t="shared" si="6"/>
        <v>5.5560151619987357</v>
      </c>
      <c r="AN13" s="582"/>
      <c r="AO13" s="583" t="str">
        <f t="shared" si="3"/>
        <v>Crate</v>
      </c>
      <c r="AP13" s="583" t="str">
        <f t="shared" si="4"/>
        <v>Weekly</v>
      </c>
      <c r="AQ13" s="584">
        <f t="shared" si="7"/>
        <v>5.5560151619987357</v>
      </c>
      <c r="AR13" s="585">
        <f t="shared" si="8"/>
        <v>1</v>
      </c>
      <c r="AS13" s="586"/>
      <c r="BH13" s="119"/>
      <c r="BI13" s="119"/>
      <c r="BJ13" s="119"/>
    </row>
    <row r="14" spans="1:62" x14ac:dyDescent="0.25">
      <c r="A14" s="8">
        <v>10800</v>
      </c>
      <c r="B14" s="8" t="s">
        <v>78</v>
      </c>
      <c r="C14" s="8" t="s">
        <v>21</v>
      </c>
      <c r="D14" s="29" t="s">
        <v>1</v>
      </c>
      <c r="E14" s="291"/>
      <c r="F14" s="292" t="s">
        <v>288</v>
      </c>
      <c r="G14" s="293" t="s">
        <v>289</v>
      </c>
      <c r="H14" s="294">
        <f>'App 7 - HH &amp; Capita'!G15</f>
        <v>10.662306916090973</v>
      </c>
      <c r="I14" s="291"/>
      <c r="J14" s="295"/>
      <c r="K14" s="296"/>
      <c r="L14" s="297"/>
      <c r="M14" s="291"/>
      <c r="N14" s="298"/>
      <c r="O14" s="298"/>
      <c r="P14" s="299"/>
      <c r="Q14" s="300"/>
      <c r="R14" s="300"/>
      <c r="S14" s="301"/>
      <c r="T14" s="291"/>
      <c r="U14" s="302">
        <f t="shared" si="0"/>
        <v>10.662306916090973</v>
      </c>
      <c r="V14" s="138">
        <f t="shared" si="1"/>
        <v>1</v>
      </c>
      <c r="W14" s="303">
        <f>'App 3 - Recycling Rate'!S15</f>
        <v>0.14519687661685032</v>
      </c>
      <c r="Y14" s="376" t="s">
        <v>415</v>
      </c>
      <c r="Z14" s="588" t="s">
        <v>294</v>
      </c>
      <c r="AA14" s="583" t="s">
        <v>289</v>
      </c>
      <c r="AB14" s="587" cm="1">
        <f t="array" ref="AB14">SUMPRODUCT(--($J$4:$J$131="55L")*--($K$4:$K$131="Weekly")*--($D$4:$D$131="S")*--($L$4:$L$131&gt;0))</f>
        <v>0</v>
      </c>
      <c r="AC14" s="587" cm="1">
        <f t="array" ref="AC14">SUMPRODUCT(--($J$4:$J$131="55L")*--($K$4:$K$131="Weekly")*--($D$4:$D$131="S"),$L$4:$L$131)</f>
        <v>0</v>
      </c>
      <c r="AD14" s="583"/>
      <c r="AE14" s="587" cm="1">
        <f t="array" ref="AE14">SUMPRODUCT(--($J$4:$J$131="55L")*--($K$4:$K$131="Weekly")*--($D$4:$D$131="R")*--($L$4:$L$131&gt;0))</f>
        <v>0</v>
      </c>
      <c r="AF14" s="587" cm="1">
        <f t="array" ref="AF14">SUMPRODUCT(--($J$4:$J$131="55L")*--($K$4:$K$131="Weekly")*--($D$4:$D$131="R"),$L$4:$L$131)</f>
        <v>0</v>
      </c>
      <c r="AG14" s="583"/>
      <c r="AH14" s="587" cm="1">
        <f t="array" ref="AH14">SUMPRODUCT(--($J$4:$J$131="55L")*--($K$4:$K$131="Weekly")*--($D$4:$D$131="N")*--($L$4:$L$131&gt;0))</f>
        <v>0</v>
      </c>
      <c r="AI14" s="587" cm="1">
        <f t="array" ref="AI14">SUMPRODUCT(--($J$4:$J$131="55L")*--($K$4:$K$131="Weekly")*--($D$4:$D$131="N"),$L$4:$L$131)</f>
        <v>0</v>
      </c>
      <c r="AJ14" s="583"/>
      <c r="AK14" s="587" cm="1">
        <f t="array" ref="AK14">SUMPRODUCT(--($J$4:$J$131="55L")*--($K$4:$K$131="Weekly"))</f>
        <v>0</v>
      </c>
      <c r="AL14" s="587" cm="1">
        <f t="array" ref="AL14">SUMPRODUCT(--($J$4:$J$131="55L")*--($K$4:$K$131="Weekly")*--($L$4:$L$131))</f>
        <v>0</v>
      </c>
      <c r="AM14" s="583" t="s">
        <v>419</v>
      </c>
      <c r="AN14" s="582"/>
      <c r="AO14" s="583" t="str">
        <f t="shared" si="3"/>
        <v>55L</v>
      </c>
      <c r="AP14" s="583" t="str">
        <f t="shared" si="4"/>
        <v>Weekly</v>
      </c>
      <c r="AQ14" s="584" t="str">
        <f t="shared" si="7"/>
        <v>-</v>
      </c>
      <c r="AR14" s="585">
        <f t="shared" si="8"/>
        <v>0</v>
      </c>
      <c r="AS14" s="586"/>
      <c r="BH14" s="119"/>
      <c r="BI14" s="119"/>
      <c r="BJ14" s="119"/>
    </row>
    <row r="15" spans="1:62" x14ac:dyDescent="0.25">
      <c r="A15" s="8">
        <v>10850</v>
      </c>
      <c r="B15" s="8" t="s">
        <v>79</v>
      </c>
      <c r="C15" s="8" t="s">
        <v>38</v>
      </c>
      <c r="D15" s="29" t="s">
        <v>1</v>
      </c>
      <c r="E15" s="291"/>
      <c r="F15" s="292" t="s">
        <v>288</v>
      </c>
      <c r="G15" s="293" t="s">
        <v>289</v>
      </c>
      <c r="H15" s="294">
        <f>'App 7 - HH &amp; Capita'!G16</f>
        <v>12.206206521427958</v>
      </c>
      <c r="I15" s="291"/>
      <c r="J15" s="295" t="s">
        <v>288</v>
      </c>
      <c r="K15" s="296" t="s">
        <v>287</v>
      </c>
      <c r="L15" s="297">
        <f>'App 7 - HH &amp; Capita'!L16</f>
        <v>3.1790645252183714</v>
      </c>
      <c r="M15" s="291"/>
      <c r="N15" s="298"/>
      <c r="O15" s="298"/>
      <c r="P15" s="299"/>
      <c r="Q15" s="300"/>
      <c r="R15" s="300"/>
      <c r="S15" s="301"/>
      <c r="T15" s="291"/>
      <c r="U15" s="302">
        <f t="shared" si="0"/>
        <v>15.385271046646331</v>
      </c>
      <c r="V15" s="138">
        <f t="shared" si="1"/>
        <v>2</v>
      </c>
      <c r="W15" s="303">
        <f>'App 3 - Recycling Rate'!S16</f>
        <v>0.57868811557112398</v>
      </c>
      <c r="Y15" s="376" t="str">
        <f t="shared" ref="Y15:Y20" si="9">Z15&amp;"I"&amp;AA15</f>
        <v>120LIFortnightly</v>
      </c>
      <c r="Z15" s="583" t="s">
        <v>290</v>
      </c>
      <c r="AA15" s="583" t="s">
        <v>414</v>
      </c>
      <c r="AB15" s="587" cm="1">
        <f t="array" ref="AB15">SUMPRODUCT(--($J$4:$J$131="120L")*--($K$4:$K$131="F/N")*--($D$4:$D$131="S")*--($L$4:$L$131&gt;0))</f>
        <v>1</v>
      </c>
      <c r="AC15" s="587" cm="1">
        <f t="array" ref="AC15">SUMPRODUCT(--($J$4:$J$131="120L")*--($K$4:$K$131="F/N")*--($D$4:$D$131="S"),$L$4:$L$131)</f>
        <v>2.7463996629732792</v>
      </c>
      <c r="AD15" s="583">
        <f t="shared" ref="AD15" si="10">AC15/AB15</f>
        <v>2.7463996629732792</v>
      </c>
      <c r="AE15" s="587" cm="1">
        <f t="array" ref="AE15">SUMPRODUCT(--($J$4:$J$131="120L")*--($K$4:$K$131="F/N")*--($D$4:$D$131="R")*--($L$4:$L$131&gt;0))</f>
        <v>0</v>
      </c>
      <c r="AF15" s="587" cm="1">
        <f t="array" ref="AF15">SUMPRODUCT(--($J$4:$J$131="120L")*--($K$4:$K$131="F/N")*--($D$4:$D$131="R"),$L$4:$L$131)</f>
        <v>0</v>
      </c>
      <c r="AG15" s="583"/>
      <c r="AH15" s="587" cm="1">
        <f t="array" ref="AH15">SUMPRODUCT(--($J$4:$J$131="120L")*--($K$4:$K$131="F/N")*--($D$4:$D$131="N")*--($L$4:$L$131&gt;0))</f>
        <v>0</v>
      </c>
      <c r="AI15" s="587" cm="1">
        <f t="array" ref="AI15">SUMPRODUCT(--($J$4:$J$131="120L")*--($K$4:$K$131="F/N")*--($D$4:$D$131="N"),$L$4:$L$131)</f>
        <v>0</v>
      </c>
      <c r="AJ15" s="583"/>
      <c r="AK15" s="587" cm="1">
        <f t="array" ref="AK15">SUMPRODUCT(--($J$4:$J$131="120L")*--($K$4:$K$131="F/N"))</f>
        <v>1</v>
      </c>
      <c r="AL15" s="587" cm="1">
        <f t="array" ref="AL15">SUMPRODUCT(--($J$4:$J$131="120L")*--($K$4:$K$131="F/N")*--($L$4:$L$131))</f>
        <v>2.7463996629732792</v>
      </c>
      <c r="AM15" s="583">
        <f t="shared" si="6"/>
        <v>2.7463996629732792</v>
      </c>
      <c r="AN15" s="582"/>
      <c r="AO15" s="583" t="str">
        <f t="shared" si="3"/>
        <v>120L</v>
      </c>
      <c r="AP15" s="583" t="str">
        <f t="shared" si="4"/>
        <v>Fortnightly</v>
      </c>
      <c r="AQ15" s="584">
        <f t="shared" si="7"/>
        <v>2.7463996629732792</v>
      </c>
      <c r="AR15" s="585">
        <f t="shared" si="8"/>
        <v>1</v>
      </c>
      <c r="AS15" s="586"/>
      <c r="BH15" s="119"/>
      <c r="BI15" s="119"/>
      <c r="BJ15" s="119"/>
    </row>
    <row r="16" spans="1:62" x14ac:dyDescent="0.25">
      <c r="A16" s="8">
        <v>10900</v>
      </c>
      <c r="B16" s="8" t="s">
        <v>80</v>
      </c>
      <c r="C16" s="8" t="s">
        <v>18</v>
      </c>
      <c r="D16" s="29" t="s">
        <v>3</v>
      </c>
      <c r="E16" s="291"/>
      <c r="F16" s="292" t="s">
        <v>286</v>
      </c>
      <c r="G16" s="293" t="s">
        <v>289</v>
      </c>
      <c r="H16" s="294">
        <f>'App 7 - HH &amp; Capita'!G17</f>
        <v>9.662745960455883</v>
      </c>
      <c r="I16" s="291"/>
      <c r="J16" s="295" t="s">
        <v>288</v>
      </c>
      <c r="K16" s="296" t="s">
        <v>287</v>
      </c>
      <c r="L16" s="297">
        <f>'App 7 - HH &amp; Capita'!L17</f>
        <v>3.7301647944346241</v>
      </c>
      <c r="M16" s="291"/>
      <c r="N16" s="298" t="s">
        <v>288</v>
      </c>
      <c r="O16" s="298" t="s">
        <v>287</v>
      </c>
      <c r="P16" s="299">
        <v>2.3416972252326</v>
      </c>
      <c r="Q16" s="300"/>
      <c r="R16" s="300"/>
      <c r="S16" s="301"/>
      <c r="T16" s="291"/>
      <c r="U16" s="302">
        <f t="shared" si="0"/>
        <v>15.734607980123108</v>
      </c>
      <c r="V16" s="138">
        <f t="shared" si="1"/>
        <v>3</v>
      </c>
      <c r="W16" s="303">
        <f>'App 3 - Recycling Rate'!S17</f>
        <v>0.54805692591967037</v>
      </c>
      <c r="Y16" s="376" t="str">
        <f t="shared" si="9"/>
        <v>140LIFortnightly</v>
      </c>
      <c r="Z16" s="583" t="s">
        <v>286</v>
      </c>
      <c r="AA16" s="583" t="s">
        <v>414</v>
      </c>
      <c r="AB16" s="587" cm="1">
        <f t="array" ref="AB16">SUMPRODUCT(--($J$4:$J$131="140L")*--($K$4:$K$131="F/N")*--($D$4:$D$131="S")*--($L$4:$L$131&gt;0))</f>
        <v>1</v>
      </c>
      <c r="AC16" s="587" cm="1">
        <f t="array" ref="AC16">SUMPRODUCT(--($J$4:$J$131="140L")*--($K$4:$K$131="F/N")*--($D$4:$D$131="S"),$L$4:$L$131)</f>
        <v>2.3858188000229221</v>
      </c>
      <c r="AD16" s="583"/>
      <c r="AE16" s="587" cm="1">
        <f t="array" ref="AE16">SUMPRODUCT(--($J$4:$J$131="140L")*--($K$4:$K$131="F/N")*--($D$4:$D$131="R")*--($L$4:$L$131&gt;0))</f>
        <v>0</v>
      </c>
      <c r="AF16" s="587" cm="1">
        <f t="array" ref="AF16">SUMPRODUCT(--($J$4:$J$131="140L")*--($K$4:$K$131="F/N")*--($D$4:$D$131="R"),$L$4:$L$131)</f>
        <v>0</v>
      </c>
      <c r="AG16" s="583"/>
      <c r="AH16" s="587" cm="1">
        <f t="array" ref="AH16">SUMPRODUCT(--($J$4:$J$131="140L")*--($K$4:$K$131="F/N")*--($D$4:$D$131="N")*--($L$4:$L$131&gt;0))</f>
        <v>0</v>
      </c>
      <c r="AI16" s="587" cm="1">
        <f t="array" ref="AI16">SUMPRODUCT(--($J$4:$J$131="140L")*--($K$4:$K$131="F/N")*--($D$4:$D$131="N"),$L$4:$L$131)</f>
        <v>0</v>
      </c>
      <c r="AJ16" s="583"/>
      <c r="AK16" s="587" cm="1">
        <f t="array" ref="AK16">SUMPRODUCT(--($J$4:$J$131="140L")*--($K$4:$K$131="F/N"))</f>
        <v>1</v>
      </c>
      <c r="AL16" s="587" cm="1">
        <f t="array" ref="AL16">SUMPRODUCT(--($J$4:$J$131="140L")*--($K$4:$K$131="F/N")*--($L$4:$L$131))</f>
        <v>2.3858188000229221</v>
      </c>
      <c r="AM16" s="583">
        <f t="shared" si="6"/>
        <v>2.3858188000229221</v>
      </c>
      <c r="AN16" s="582"/>
      <c r="AO16" s="583" t="str">
        <f t="shared" si="3"/>
        <v>140L</v>
      </c>
      <c r="AP16" s="583" t="str">
        <f t="shared" si="4"/>
        <v>Fortnightly</v>
      </c>
      <c r="AQ16" s="584">
        <f t="shared" si="7"/>
        <v>2.3858188000229221</v>
      </c>
      <c r="AR16" s="585">
        <f t="shared" si="8"/>
        <v>1</v>
      </c>
      <c r="AS16" s="586"/>
      <c r="BH16" s="119"/>
      <c r="BI16" s="119"/>
      <c r="BJ16" s="119"/>
    </row>
    <row r="17" spans="1:62" x14ac:dyDescent="0.25">
      <c r="A17" s="8">
        <v>10950</v>
      </c>
      <c r="B17" s="8" t="s">
        <v>81</v>
      </c>
      <c r="C17" s="8" t="s">
        <v>38</v>
      </c>
      <c r="D17" s="29" t="s">
        <v>1</v>
      </c>
      <c r="E17" s="291"/>
      <c r="F17" s="292" t="s">
        <v>288</v>
      </c>
      <c r="G17" s="293" t="s">
        <v>289</v>
      </c>
      <c r="H17" s="294">
        <f>'App 7 - HH &amp; Capita'!G18</f>
        <v>19.304876241292426</v>
      </c>
      <c r="I17" s="291"/>
      <c r="J17" s="295" t="s">
        <v>288</v>
      </c>
      <c r="K17" s="296" t="s">
        <v>287</v>
      </c>
      <c r="L17" s="297">
        <f>'App 7 - HH &amp; Capita'!L18</f>
        <v>1.9808977214322425</v>
      </c>
      <c r="M17" s="291"/>
      <c r="N17" s="298"/>
      <c r="O17" s="298"/>
      <c r="P17" s="299"/>
      <c r="Q17" s="300"/>
      <c r="R17" s="300"/>
      <c r="S17" s="301"/>
      <c r="T17" s="291"/>
      <c r="U17" s="302">
        <f t="shared" si="0"/>
        <v>21.285773962724669</v>
      </c>
      <c r="V17" s="138">
        <f t="shared" si="1"/>
        <v>2</v>
      </c>
      <c r="W17" s="303">
        <f>'App 3 - Recycling Rate'!S18</f>
        <v>0.38387246916453344</v>
      </c>
      <c r="Y17" s="376" t="str">
        <f t="shared" si="9"/>
        <v>240LIFortnightly</v>
      </c>
      <c r="Z17" s="583" t="s">
        <v>288</v>
      </c>
      <c r="AA17" s="583" t="s">
        <v>414</v>
      </c>
      <c r="AB17" s="587" cm="1">
        <f t="array" ref="AB17">SUMPRODUCT(--($J$4:$J$131="240L")*--($K$4:$K$131="F/N")*--($D$4:$D$131="S")*--($L$4:$L$131&gt;0))</f>
        <v>31</v>
      </c>
      <c r="AC17" s="587" cm="1">
        <f t="array" ref="AC17">SUMPRODUCT(--($J$4:$J$131="240L")*--($K$4:$K$131="F/N")*--($D$4:$D$131="S"),$L$4:$L$131)</f>
        <v>108.07329458886431</v>
      </c>
      <c r="AD17" s="583">
        <f t="shared" ref="AD17" si="11">AC17/AB17</f>
        <v>3.4862353093182037</v>
      </c>
      <c r="AE17" s="587" cm="1">
        <f t="array" ref="AE17">SUMPRODUCT(--($J$4:$J$131="240L")*--($K$4:$K$131="F/N")*--($D$4:$D$131="R")*--($L$4:$L$131&gt;0))</f>
        <v>16</v>
      </c>
      <c r="AF17" s="587" cm="1">
        <f t="array" ref="AF17">SUMPRODUCT(--($J$4:$J$131="240L")*--($K$4:$K$131="F/N")*--($D$4:$D$131="R"),$L$4:$L$131)</f>
        <v>62.413097041550294</v>
      </c>
      <c r="AG17" s="583">
        <f t="shared" ref="AG17" si="12">AF17/AE17</f>
        <v>3.9008185650968934</v>
      </c>
      <c r="AH17" s="587" cm="1">
        <f t="array" ref="AH17">SUMPRODUCT(--($J$4:$J$131="240L")*--($K$4:$K$131="F/N")*--($D$4:$D$131="N")*--($L$4:$L$131&gt;0))</f>
        <v>42</v>
      </c>
      <c r="AI17" s="587" cm="1">
        <f t="array" ref="AI17">SUMPRODUCT(--($J$4:$J$131="240L")*--($K$4:$K$131="F/N")*--($D$4:$D$131="N"),$L$4:$L$131)</f>
        <v>123.6016663454068</v>
      </c>
      <c r="AJ17" s="583">
        <f>AI17/AH17</f>
        <v>2.9428968177477808</v>
      </c>
      <c r="AK17" s="587" cm="1">
        <f t="array" ref="AK17">SUMPRODUCT(--($J$4:$J$131="240L")*--($K$4:$K$131="F/N"))</f>
        <v>90</v>
      </c>
      <c r="AL17" s="587" cm="1">
        <f t="array" ref="AL17">SUMPRODUCT(--($J$4:$J$131="240L")*--($K$4:$K$131="F/N")*--($L$4:$L$131))</f>
        <v>294.08805797582153</v>
      </c>
      <c r="AM17" s="583">
        <f t="shared" si="6"/>
        <v>3.2676450886202391</v>
      </c>
      <c r="AN17" s="582"/>
      <c r="AO17" s="583" t="str">
        <f t="shared" si="3"/>
        <v>240L</v>
      </c>
      <c r="AP17" s="583" t="str">
        <f t="shared" si="4"/>
        <v>Fortnightly</v>
      </c>
      <c r="AQ17" s="584">
        <f t="shared" si="7"/>
        <v>3.2676450886202391</v>
      </c>
      <c r="AR17" s="585">
        <f t="shared" si="8"/>
        <v>90</v>
      </c>
      <c r="AS17" s="586"/>
      <c r="BH17" s="119"/>
      <c r="BI17" s="119"/>
      <c r="BJ17" s="119"/>
    </row>
    <row r="18" spans="1:62" x14ac:dyDescent="0.25">
      <c r="A18" s="8">
        <v>11150</v>
      </c>
      <c r="B18" s="8" t="s">
        <v>82</v>
      </c>
      <c r="C18" s="8" t="s">
        <v>38</v>
      </c>
      <c r="D18" s="29" t="s">
        <v>1</v>
      </c>
      <c r="E18" s="291"/>
      <c r="F18" s="292" t="s">
        <v>288</v>
      </c>
      <c r="G18" s="293" t="s">
        <v>289</v>
      </c>
      <c r="H18" s="294">
        <f>'App 7 - HH &amp; Capita'!G19</f>
        <v>18.372074446840802</v>
      </c>
      <c r="I18" s="291"/>
      <c r="J18" s="295"/>
      <c r="K18" s="296"/>
      <c r="L18" s="297"/>
      <c r="M18" s="291"/>
      <c r="N18" s="298"/>
      <c r="O18" s="298"/>
      <c r="P18" s="299"/>
      <c r="Q18" s="300"/>
      <c r="R18" s="300"/>
      <c r="S18" s="301"/>
      <c r="T18" s="291"/>
      <c r="U18" s="302">
        <f t="shared" si="0"/>
        <v>18.372074446840802</v>
      </c>
      <c r="V18" s="138">
        <f t="shared" si="1"/>
        <v>1</v>
      </c>
      <c r="W18" s="303">
        <f>'App 3 - Recycling Rate'!S19</f>
        <v>5.4694162736454902E-2</v>
      </c>
      <c r="Y18" s="376" t="str">
        <f t="shared" si="9"/>
        <v>2x120LIFortnightly</v>
      </c>
      <c r="Z18" s="583" t="s">
        <v>416</v>
      </c>
      <c r="AA18" s="583" t="s">
        <v>414</v>
      </c>
      <c r="AB18" s="587" cm="1">
        <f t="array" ref="AB18">SUMPRODUCT(--($J$4:$J$131="2x120L")*--($K$4:$K$131="F/N")*--($D$4:$D$131="S")*--($L$4:$L$131&gt;0))</f>
        <v>0</v>
      </c>
      <c r="AC18" s="587" cm="1">
        <f t="array" ref="AC18">SUMPRODUCT(--($J$4:$J$131="2x120L")*--($K$4:$K$131="F/N")*--($D$4:$D$131="S"),$L$4:$L$131)</f>
        <v>0</v>
      </c>
      <c r="AD18" s="583"/>
      <c r="AE18" s="587" cm="1">
        <f t="array" ref="AE18">SUMPRODUCT(--($J$4:$J$131="2x120L")*--($K$4:$K$131="F/N")*--($D$4:$D$131="R")*--($L$4:$L$131&gt;0))</f>
        <v>0</v>
      </c>
      <c r="AF18" s="587" cm="1">
        <f t="array" ref="AF18">SUMPRODUCT(--($J$4:$J$131="2x120L")*--($K$4:$K$131="F/N")*--($D$4:$D$131="R"),$L$4:$L$131)</f>
        <v>0</v>
      </c>
      <c r="AG18" s="583"/>
      <c r="AH18" s="587" cm="1">
        <f t="array" ref="AH18">SUMPRODUCT(--($J$4:$J$131="2x120L")*--($K$4:$K$131="F/N")*--($D$4:$D$131="N")*--($L$4:$L$131&gt;0))</f>
        <v>0</v>
      </c>
      <c r="AI18" s="587" cm="1">
        <f t="array" ref="AI18">SUMPRODUCT(--($J$4:$J$131="2x120L")*--($K$4:$K$131="F/N")*--($D$4:$D$131="N"),$L$4:$L$131)</f>
        <v>0</v>
      </c>
      <c r="AJ18" s="583"/>
      <c r="AK18" s="587" cm="1">
        <f t="array" ref="AK18">SUMPRODUCT(--($J$4:$J$131="2x120L")*--($K$4:$K$131="F/N"))</f>
        <v>0</v>
      </c>
      <c r="AL18" s="587" cm="1">
        <f t="array" ref="AL18">SUMPRODUCT(--($J$4:$J$131="2x120L")*--($K$4:$K$131="F/N")*--($L$4:$L$131))</f>
        <v>0</v>
      </c>
      <c r="AM18" s="583" t="s">
        <v>419</v>
      </c>
      <c r="AN18" s="582"/>
      <c r="AO18" s="583" t="str">
        <f t="shared" si="3"/>
        <v>2x120L</v>
      </c>
      <c r="AP18" s="583" t="str">
        <f t="shared" si="4"/>
        <v>Fortnightly</v>
      </c>
      <c r="AQ18" s="584" t="str">
        <f t="shared" si="7"/>
        <v>-</v>
      </c>
      <c r="AR18" s="585">
        <f t="shared" si="8"/>
        <v>0</v>
      </c>
      <c r="AS18" s="586"/>
      <c r="BH18" s="119"/>
      <c r="BI18" s="119"/>
      <c r="BJ18" s="119"/>
    </row>
    <row r="19" spans="1:62" x14ac:dyDescent="0.25">
      <c r="A19" s="8">
        <v>11200</v>
      </c>
      <c r="B19" s="8" t="s">
        <v>83</v>
      </c>
      <c r="C19" s="8" t="s">
        <v>38</v>
      </c>
      <c r="D19" s="29" t="s">
        <v>1</v>
      </c>
      <c r="E19" s="291"/>
      <c r="F19" s="292" t="s">
        <v>288</v>
      </c>
      <c r="G19" s="293" t="s">
        <v>470</v>
      </c>
      <c r="H19" s="294">
        <f>'App 7 - HH &amp; Capita'!G20</f>
        <v>22.94343400634073</v>
      </c>
      <c r="I19" s="291"/>
      <c r="J19" s="295"/>
      <c r="K19" s="296"/>
      <c r="L19" s="297"/>
      <c r="M19" s="291"/>
      <c r="N19" s="298"/>
      <c r="O19" s="298"/>
      <c r="P19" s="299"/>
      <c r="Q19" s="300"/>
      <c r="R19" s="300"/>
      <c r="S19" s="301"/>
      <c r="T19" s="291"/>
      <c r="U19" s="302">
        <f t="shared" si="0"/>
        <v>22.94343400634073</v>
      </c>
      <c r="V19" s="138">
        <f t="shared" si="1"/>
        <v>1</v>
      </c>
      <c r="W19" s="303">
        <f>'App 3 - Recycling Rate'!S20</f>
        <v>0.53594020955963162</v>
      </c>
      <c r="Y19" s="376" t="str">
        <f t="shared" si="9"/>
        <v>360LIFortnightly</v>
      </c>
      <c r="Z19" s="583" t="s">
        <v>291</v>
      </c>
      <c r="AA19" s="583" t="s">
        <v>414</v>
      </c>
      <c r="AB19" s="587" cm="1">
        <f t="array" ref="AB19">SUMPRODUCT(--($J$4:$J$131="360L")*--($K$4:$K$131="F/N")*--($D$4:$D$131="S")*--($L$4:$L$131&gt;0))</f>
        <v>0</v>
      </c>
      <c r="AC19" s="587" cm="1">
        <f t="array" ref="AC19">SUMPRODUCT(--($J$4:$J$131="360L")*--($K$4:$K$131="F/N")*--($D$4:$D$131="S"),$L$4:$L$131)</f>
        <v>0</v>
      </c>
      <c r="AD19" s="583"/>
      <c r="AE19" s="587" cm="1">
        <f t="array" ref="AE19">SUMPRODUCT(--($J$4:$J$131="360L")*--($K$4:$K$131="F/N")*--($D$4:$D$131="R")*--($L$4:$L$131&gt;0))</f>
        <v>2</v>
      </c>
      <c r="AF19" s="587" cm="1">
        <f t="array" ref="AF19">SUMPRODUCT(--($J$4:$J$131="360L")*--($K$4:$K$131="F/N")*--($D$4:$D$131="R"),$L$4:$L$131)</f>
        <v>8.1399370871897752</v>
      </c>
      <c r="AG19" s="583">
        <f t="shared" ref="AG19" si="13">AF19/AE19</f>
        <v>4.0699685435948876</v>
      </c>
      <c r="AH19" s="587" cm="1">
        <f t="array" ref="AH19">SUMPRODUCT(--($J$4:$J$131="360L")*--($K$4:$K$131="F/N")*--($D$4:$D$131="N")*--($L$4:$L$131&gt;0))</f>
        <v>2</v>
      </c>
      <c r="AI19" s="587" cm="1">
        <f t="array" ref="AI19">SUMPRODUCT(--($J$4:$J$131="360L")*--($K$4:$K$131="F/N")*--($D$4:$D$131="N"),$L$4:$L$131)</f>
        <v>5.3474400547304182</v>
      </c>
      <c r="AJ19" s="583">
        <f>AI19/AH19</f>
        <v>2.6737200273652091</v>
      </c>
      <c r="AK19" s="587" cm="1">
        <f t="array" ref="AK19">SUMPRODUCT(--($J$4:$J$131="360L")*--($K$4:$K$131="F/N"))</f>
        <v>4</v>
      </c>
      <c r="AL19" s="587" cm="1">
        <f t="array" ref="AL19">SUMPRODUCT(--($J$4:$J$131="360L")*--($K$4:$K$131="F/N")*--($L$4:$L$131))</f>
        <v>13.487377141920193</v>
      </c>
      <c r="AM19" s="583">
        <f t="shared" si="6"/>
        <v>3.3718442854800483</v>
      </c>
      <c r="AN19" s="582"/>
      <c r="AO19" s="583" t="str">
        <f t="shared" si="3"/>
        <v>360L</v>
      </c>
      <c r="AP19" s="583" t="str">
        <f t="shared" si="4"/>
        <v>Fortnightly</v>
      </c>
      <c r="AQ19" s="584">
        <f t="shared" si="7"/>
        <v>3.3718442854800483</v>
      </c>
      <c r="AR19" s="585">
        <f t="shared" si="8"/>
        <v>4</v>
      </c>
      <c r="AS19" s="586"/>
      <c r="BH19" s="119"/>
      <c r="BI19" s="119"/>
      <c r="BJ19" s="119"/>
    </row>
    <row r="20" spans="1:62" x14ac:dyDescent="0.25">
      <c r="A20" s="8">
        <v>11250</v>
      </c>
      <c r="B20" s="8" t="s">
        <v>84</v>
      </c>
      <c r="C20" s="8" t="s">
        <v>38</v>
      </c>
      <c r="D20" s="29" t="s">
        <v>1</v>
      </c>
      <c r="E20" s="291"/>
      <c r="F20" s="292" t="s">
        <v>288</v>
      </c>
      <c r="G20" s="293" t="s">
        <v>289</v>
      </c>
      <c r="H20" s="294">
        <f>'App 7 - HH &amp; Capita'!G21</f>
        <v>14.880971579084786</v>
      </c>
      <c r="I20" s="291"/>
      <c r="J20" s="295"/>
      <c r="K20" s="296"/>
      <c r="L20" s="297"/>
      <c r="M20" s="291"/>
      <c r="N20" s="298"/>
      <c r="O20" s="298"/>
      <c r="P20" s="299"/>
      <c r="Q20" s="300" t="s">
        <v>288</v>
      </c>
      <c r="R20" s="300" t="s">
        <v>287</v>
      </c>
      <c r="S20" s="301">
        <v>3.3818157638922002</v>
      </c>
      <c r="T20" s="291"/>
      <c r="U20" s="302">
        <f t="shared" si="0"/>
        <v>18.262787342976985</v>
      </c>
      <c r="V20" s="138">
        <v>4</v>
      </c>
      <c r="W20" s="303">
        <f>'App 3 - Recycling Rate'!S21</f>
        <v>0.11011767976999104</v>
      </c>
      <c r="Y20" s="376" t="str">
        <f t="shared" si="9"/>
        <v>660LIFortnightly</v>
      </c>
      <c r="Z20" s="591" t="s">
        <v>417</v>
      </c>
      <c r="AA20" s="583" t="s">
        <v>414</v>
      </c>
      <c r="AB20" s="587" cm="1">
        <f t="array" ref="AB20">SUMPRODUCT(--($J$4:$J$131="660L")*--($K$4:$K$131="F/N")*--($D$4:$D$131="S")*--($L$4:$L$131&gt;0))</f>
        <v>0</v>
      </c>
      <c r="AC20" s="587" cm="1">
        <f t="array" ref="AC20">SUMPRODUCT(--($J$4:$J$131="660L")*--($K$4:$K$131="F/N")*--($D$4:$D$131="S"),$L$4:$L$131)</f>
        <v>0</v>
      </c>
      <c r="AD20" s="583"/>
      <c r="AE20" s="587" cm="1">
        <f t="array" ref="AE20">SUMPRODUCT(--($J$4:$J$131="660L")*--($K$4:$K$131="F/N")*--($D$4:$D$131="R")*--($L$4:$L$131&gt;0))</f>
        <v>0</v>
      </c>
      <c r="AF20" s="587" cm="1">
        <f t="array" ref="AF20">SUMPRODUCT(--($J$4:$J$131="660L")*--($K$4:$K$131="F/N")*--($D$4:$D$131="R"),$L$4:$L$131)</f>
        <v>0</v>
      </c>
      <c r="AG20" s="583"/>
      <c r="AH20" s="587" cm="1">
        <f t="array" ref="AH20">SUMPRODUCT(--($J$4:$J$131="660L")*--($K$4:$K$131="F/N")*--($D$4:$D$131="N")*--($L$4:$L$131&gt;0))</f>
        <v>0</v>
      </c>
      <c r="AI20" s="587" cm="1">
        <f t="array" ref="AI20">SUMPRODUCT(--($J$4:$J$131="660L")*--($K$4:$K$131="F/N")*--($D$4:$D$131="N"),$L$4:$L$131)</f>
        <v>0</v>
      </c>
      <c r="AJ20" s="583"/>
      <c r="AK20" s="587" cm="1">
        <f t="array" ref="AK20">SUMPRODUCT(--($J$4:$J$131="660L")*--($K$4:$K$131="F/N"))</f>
        <v>0</v>
      </c>
      <c r="AL20" s="587" cm="1">
        <f t="array" ref="AL20">SUMPRODUCT(--($J$4:$J$131="660L")*--($K$4:$K$131="F/N")*--($L$4:$L$131))</f>
        <v>0</v>
      </c>
      <c r="AM20" s="583" t="s">
        <v>419</v>
      </c>
      <c r="AN20" s="582"/>
      <c r="AO20" s="583" t="str">
        <f t="shared" si="3"/>
        <v>660L</v>
      </c>
      <c r="AP20" s="583" t="str">
        <f t="shared" si="4"/>
        <v>Fortnightly</v>
      </c>
      <c r="AQ20" s="584" t="str">
        <f t="shared" si="7"/>
        <v>-</v>
      </c>
      <c r="AR20" s="585">
        <f t="shared" si="8"/>
        <v>0</v>
      </c>
      <c r="AS20" s="586"/>
      <c r="BH20" s="119"/>
      <c r="BI20" s="119"/>
      <c r="BJ20" s="119"/>
    </row>
    <row r="21" spans="1:62" x14ac:dyDescent="0.25">
      <c r="A21" s="8">
        <v>11300</v>
      </c>
      <c r="B21" s="8" t="s">
        <v>85</v>
      </c>
      <c r="C21" s="8" t="s">
        <v>17</v>
      </c>
      <c r="D21" s="29" t="s">
        <v>2</v>
      </c>
      <c r="E21" s="291"/>
      <c r="F21" s="292" t="s">
        <v>288</v>
      </c>
      <c r="G21" s="293" t="s">
        <v>289</v>
      </c>
      <c r="H21" s="294">
        <f>'App 7 - HH &amp; Capita'!G22</f>
        <v>10.821862892671849</v>
      </c>
      <c r="I21" s="291"/>
      <c r="J21" s="295" t="s">
        <v>288</v>
      </c>
      <c r="K21" s="296" t="s">
        <v>287</v>
      </c>
      <c r="L21" s="297">
        <f>'App 7 - HH &amp; Capita'!L22</f>
        <v>2.5605544835150056</v>
      </c>
      <c r="M21" s="291"/>
      <c r="N21" s="298" t="s">
        <v>288</v>
      </c>
      <c r="O21" s="298" t="s">
        <v>287</v>
      </c>
      <c r="P21" s="299">
        <v>2.9632897892451697</v>
      </c>
      <c r="Q21" s="300"/>
      <c r="R21" s="300"/>
      <c r="S21" s="301"/>
      <c r="T21" s="291"/>
      <c r="U21" s="302">
        <f t="shared" si="0"/>
        <v>16.345707165432025</v>
      </c>
      <c r="V21" s="138">
        <f t="shared" si="1"/>
        <v>3</v>
      </c>
      <c r="W21" s="303">
        <f>'App 3 - Recycling Rate'!S22</f>
        <v>0.55475571195799112</v>
      </c>
      <c r="AB21" s="593"/>
      <c r="AC21" s="593"/>
      <c r="AE21" s="593"/>
      <c r="AF21" s="593"/>
      <c r="AH21" s="593"/>
      <c r="AI21" s="593"/>
      <c r="AK21" s="593"/>
      <c r="AN21" s="582"/>
      <c r="AR21" s="592">
        <f>SUM(AR9:AR20)</f>
        <v>109</v>
      </c>
      <c r="AS21" s="586"/>
      <c r="BH21" s="119"/>
      <c r="BI21" s="119"/>
      <c r="BJ21" s="119"/>
    </row>
    <row r="22" spans="1:62" x14ac:dyDescent="0.25">
      <c r="A22" s="8">
        <v>11350</v>
      </c>
      <c r="B22" s="8" t="s">
        <v>86</v>
      </c>
      <c r="C22" s="8" t="s">
        <v>19</v>
      </c>
      <c r="D22" s="29" t="s">
        <v>3</v>
      </c>
      <c r="E22" s="291"/>
      <c r="F22" s="292" t="s">
        <v>286</v>
      </c>
      <c r="G22" s="293" t="s">
        <v>287</v>
      </c>
      <c r="H22" s="294">
        <f>'App 7 - HH &amp; Capita'!G23</f>
        <v>7.415038665038665</v>
      </c>
      <c r="I22" s="291"/>
      <c r="J22" s="295" t="s">
        <v>288</v>
      </c>
      <c r="K22" s="296" t="s">
        <v>287</v>
      </c>
      <c r="L22" s="297">
        <f>'App 7 - HH &amp; Capita'!L23</f>
        <v>6.1689164910248362</v>
      </c>
      <c r="M22" s="291"/>
      <c r="N22" s="298"/>
      <c r="O22" s="298"/>
      <c r="P22" s="299"/>
      <c r="Q22" s="300" t="s">
        <v>288</v>
      </c>
      <c r="R22" s="300" t="s">
        <v>289</v>
      </c>
      <c r="S22" s="301">
        <v>9.2932258645159997</v>
      </c>
      <c r="T22" s="291"/>
      <c r="U22" s="302">
        <f t="shared" si="0"/>
        <v>22.877181020579499</v>
      </c>
      <c r="V22" s="138">
        <f t="shared" si="1"/>
        <v>4</v>
      </c>
      <c r="W22" s="303">
        <f>'App 3 - Recycling Rate'!S23</f>
        <v>0.64080115248901037</v>
      </c>
      <c r="Z22" s="583" t="s">
        <v>418</v>
      </c>
      <c r="AA22" s="583"/>
      <c r="AB22" s="587" cm="1">
        <f t="array" ref="AB22">SUMPRODUCT(--($J$4:$J$131="")*--($K$4:$K$131="")*--($D$4:$D$131="S")*--($L$4:$L$131&gt;0))</f>
        <v>0</v>
      </c>
      <c r="AC22" s="587" cm="1">
        <f t="array" ref="AC22">SUMPRODUCT(--($J$4:$J$131="")*--($K$4:$K$131="")*--($D$4:$D$131="S"),$L$4:$L$131)</f>
        <v>0</v>
      </c>
      <c r="AD22" s="585" t="s">
        <v>419</v>
      </c>
      <c r="AE22" s="587" cm="1">
        <f t="array" ref="AE22">SUMPRODUCT(--($J$4:$J$131="")*--($K$4:$K$131="")*--($D$4:$D$131="R")*--($L$4:$L$131&gt;0))</f>
        <v>0</v>
      </c>
      <c r="AF22" s="587" cm="1">
        <f t="array" ref="AF22">SUMPRODUCT(--($J$4:$J$131="")*--($K$4:$K$131="")*--($D$4:$D$131="R"),$L$4:$L$131)</f>
        <v>0</v>
      </c>
      <c r="AG22" s="585" t="s">
        <v>419</v>
      </c>
      <c r="AH22" s="587" cm="1">
        <f t="array" ref="AH22">SUMPRODUCT(--($J$4:$J$131="")*--($K$4:$K$131="")*--($D$4:$D$131="N")*--($L$4:$L$131&gt;0))</f>
        <v>1</v>
      </c>
      <c r="AI22" s="587" cm="1">
        <f t="array" ref="AI22">SUMPRODUCT(--($J$4:$J$131="")*--($K$4:$K$131="")*--($D$4:$D$131="N"),$L$4:$L$131)</f>
        <v>7.4925074925074933</v>
      </c>
      <c r="AJ22" s="585" t="s">
        <v>419</v>
      </c>
      <c r="AK22" s="587" cm="1">
        <f t="array" ref="AK22">SUMPRODUCT(--($J$4:$J$131="")*--($K$4:$K$131=""))</f>
        <v>18</v>
      </c>
      <c r="AL22" s="585" t="s">
        <v>419</v>
      </c>
      <c r="AM22" s="583" t="s">
        <v>419</v>
      </c>
      <c r="AQ22" s="594"/>
      <c r="AR22" s="592"/>
      <c r="AS22" s="586"/>
      <c r="BH22" s="119"/>
      <c r="BI22" s="119"/>
      <c r="BJ22" s="119"/>
    </row>
    <row r="23" spans="1:62" ht="15.75" x14ac:dyDescent="0.25">
      <c r="A23" s="8">
        <v>11400</v>
      </c>
      <c r="B23" s="8" t="s">
        <v>87</v>
      </c>
      <c r="C23" s="8" t="s">
        <v>38</v>
      </c>
      <c r="D23" s="29" t="s">
        <v>1</v>
      </c>
      <c r="E23" s="291"/>
      <c r="F23" s="292" t="s">
        <v>288</v>
      </c>
      <c r="G23" s="293" t="s">
        <v>289</v>
      </c>
      <c r="H23" s="294">
        <f>'App 7 - HH &amp; Capita'!G24</f>
        <v>11.641634845112414</v>
      </c>
      <c r="I23" s="291"/>
      <c r="J23" s="295" t="s">
        <v>288</v>
      </c>
      <c r="K23" s="296" t="s">
        <v>287</v>
      </c>
      <c r="L23" s="297">
        <f>'App 7 - HH &amp; Capita'!L24</f>
        <v>2.9987645749525234</v>
      </c>
      <c r="M23" s="291"/>
      <c r="N23" s="298"/>
      <c r="O23" s="298"/>
      <c r="P23" s="299"/>
      <c r="Q23" s="300"/>
      <c r="R23" s="300"/>
      <c r="S23" s="301"/>
      <c r="T23" s="291"/>
      <c r="U23" s="302">
        <f t="shared" si="0"/>
        <v>14.640399420064938</v>
      </c>
      <c r="V23" s="138">
        <f t="shared" si="1"/>
        <v>2</v>
      </c>
      <c r="W23" s="303">
        <f>'App 3 - Recycling Rate'!S24</f>
        <v>0.29820567515729474</v>
      </c>
      <c r="AB23" s="593"/>
      <c r="AE23" s="593"/>
      <c r="AH23" s="593"/>
      <c r="AK23" s="593"/>
      <c r="AR23" s="592"/>
      <c r="AS23" s="586"/>
      <c r="AW23" s="575" t="s">
        <v>420</v>
      </c>
      <c r="BH23" s="119"/>
      <c r="BI23" s="119"/>
      <c r="BJ23" s="119"/>
    </row>
    <row r="24" spans="1:62" x14ac:dyDescent="0.25">
      <c r="A24" s="8">
        <v>11450</v>
      </c>
      <c r="B24" s="8" t="s">
        <v>69</v>
      </c>
      <c r="C24" s="8" t="s">
        <v>182</v>
      </c>
      <c r="D24" s="29" t="s">
        <v>2</v>
      </c>
      <c r="E24" s="291"/>
      <c r="F24" s="292" t="s">
        <v>288</v>
      </c>
      <c r="G24" s="293" t="s">
        <v>289</v>
      </c>
      <c r="H24" s="294">
        <f>'App 7 - HH &amp; Capita'!G25</f>
        <v>12.989719156524993</v>
      </c>
      <c r="I24" s="291"/>
      <c r="J24" s="295" t="s">
        <v>288</v>
      </c>
      <c r="K24" s="296" t="s">
        <v>289</v>
      </c>
      <c r="L24" s="297">
        <f>'App 7 - HH &amp; Capita'!L25</f>
        <v>5.193865091824275</v>
      </c>
      <c r="M24" s="291"/>
      <c r="N24" s="298" t="s">
        <v>288</v>
      </c>
      <c r="O24" s="298" t="s">
        <v>289</v>
      </c>
      <c r="P24" s="299">
        <v>6.388261698879</v>
      </c>
      <c r="Q24" s="300"/>
      <c r="R24" s="300"/>
      <c r="S24" s="301"/>
      <c r="T24" s="291"/>
      <c r="U24" s="302">
        <f t="shared" si="0"/>
        <v>24.571845947228269</v>
      </c>
      <c r="V24" s="138">
        <f t="shared" si="1"/>
        <v>3</v>
      </c>
      <c r="W24" s="303">
        <f>'App 3 - Recycling Rate'!S25</f>
        <v>0.61532623242886852</v>
      </c>
      <c r="Z24" s="595" t="s">
        <v>0</v>
      </c>
      <c r="AB24" s="596">
        <f>SUM(AB9:AB22)</f>
        <v>40</v>
      </c>
      <c r="AC24" s="597"/>
      <c r="AD24" s="597"/>
      <c r="AE24" s="596">
        <f>SUM(AE9:AE22)</f>
        <v>18</v>
      </c>
      <c r="AF24" s="597"/>
      <c r="AG24" s="597"/>
      <c r="AH24" s="596">
        <f>SUM(AH9:AH22)</f>
        <v>50</v>
      </c>
      <c r="AI24" s="597"/>
      <c r="AJ24" s="597"/>
      <c r="AK24" s="596">
        <f>SUM(AK9:AK20)+AK22</f>
        <v>127</v>
      </c>
      <c r="AL24" s="597"/>
      <c r="AM24" s="597"/>
      <c r="AR24" s="592"/>
      <c r="AS24" s="586"/>
      <c r="BH24" s="119"/>
      <c r="BI24" s="119"/>
      <c r="BJ24" s="119"/>
    </row>
    <row r="25" spans="1:62" x14ac:dyDescent="0.25">
      <c r="A25" s="8">
        <v>11500</v>
      </c>
      <c r="B25" s="8" t="s">
        <v>46</v>
      </c>
      <c r="C25" s="8" t="s">
        <v>182</v>
      </c>
      <c r="D25" s="29" t="s">
        <v>2</v>
      </c>
      <c r="E25" s="291"/>
      <c r="F25" s="292" t="s">
        <v>288</v>
      </c>
      <c r="G25" s="293" t="s">
        <v>473</v>
      </c>
      <c r="H25" s="294">
        <f>'App 7 - HH &amp; Capita'!G26</f>
        <v>12.162118892715908</v>
      </c>
      <c r="I25" s="291"/>
      <c r="J25" s="295" t="s">
        <v>288</v>
      </c>
      <c r="K25" s="296" t="s">
        <v>287</v>
      </c>
      <c r="L25" s="297">
        <f>'App 7 - HH &amp; Capita'!L26</f>
        <v>3.6703837807994044</v>
      </c>
      <c r="M25" s="291"/>
      <c r="N25" s="298" t="s">
        <v>288</v>
      </c>
      <c r="O25" s="298" t="s">
        <v>287</v>
      </c>
      <c r="P25" s="299">
        <v>5.9389473768462393</v>
      </c>
      <c r="Q25" s="300"/>
      <c r="R25" s="300"/>
      <c r="S25" s="301"/>
      <c r="T25" s="291"/>
      <c r="U25" s="302">
        <f t="shared" si="0"/>
        <v>21.771450050361551</v>
      </c>
      <c r="V25" s="138">
        <f t="shared" si="1"/>
        <v>3</v>
      </c>
      <c r="W25" s="303">
        <f>'App 3 - Recycling Rate'!S26</f>
        <v>0.35384407882476265</v>
      </c>
      <c r="AK25" s="598">
        <f>SUM(AB24:AH24)</f>
        <v>108</v>
      </c>
      <c r="AU25" s="592"/>
      <c r="AV25" s="586"/>
    </row>
    <row r="26" spans="1:62" x14ac:dyDescent="0.25">
      <c r="A26" s="8">
        <v>11520</v>
      </c>
      <c r="B26" s="8" t="s">
        <v>88</v>
      </c>
      <c r="C26" s="8" t="s">
        <v>17</v>
      </c>
      <c r="D26" s="29" t="s">
        <v>2</v>
      </c>
      <c r="E26" s="291"/>
      <c r="F26" s="292" t="s">
        <v>288</v>
      </c>
      <c r="G26" s="293" t="s">
        <v>289</v>
      </c>
      <c r="H26" s="294">
        <f>'App 7 - HH &amp; Capita'!G27</f>
        <v>9.4441819113830778</v>
      </c>
      <c r="I26" s="291"/>
      <c r="J26" s="295" t="s">
        <v>288</v>
      </c>
      <c r="K26" s="296" t="s">
        <v>287</v>
      </c>
      <c r="L26" s="297">
        <f>'App 7 - HH &amp; Capita'!L27</f>
        <v>3.1746679919764316</v>
      </c>
      <c r="M26" s="291"/>
      <c r="N26" s="298" t="s">
        <v>288</v>
      </c>
      <c r="O26" s="298" t="s">
        <v>287</v>
      </c>
      <c r="P26" s="299">
        <v>2.5564573964980002</v>
      </c>
      <c r="Q26" s="300"/>
      <c r="R26" s="300"/>
      <c r="S26" s="301"/>
      <c r="T26" s="291"/>
      <c r="U26" s="302">
        <f t="shared" si="0"/>
        <v>15.17530729985751</v>
      </c>
      <c r="V26" s="138">
        <f t="shared" si="1"/>
        <v>3</v>
      </c>
      <c r="W26" s="303">
        <f>'App 3 - Recycling Rate'!S27</f>
        <v>0.41289388382209802</v>
      </c>
      <c r="AN26" s="598"/>
      <c r="AU26" s="592"/>
      <c r="AV26" s="586"/>
    </row>
    <row r="27" spans="1:62" x14ac:dyDescent="0.25">
      <c r="A27" s="8">
        <v>11570</v>
      </c>
      <c r="B27" s="8" t="s">
        <v>89</v>
      </c>
      <c r="C27" s="8" t="s">
        <v>17</v>
      </c>
      <c r="D27" s="29" t="s">
        <v>2</v>
      </c>
      <c r="E27" s="291"/>
      <c r="F27" s="292" t="s">
        <v>288</v>
      </c>
      <c r="G27" s="293" t="s">
        <v>289</v>
      </c>
      <c r="H27" s="294">
        <f>'App 7 - HH &amp; Capita'!G28</f>
        <v>12.215387331235339</v>
      </c>
      <c r="I27" s="291"/>
      <c r="J27" s="295" t="s">
        <v>288</v>
      </c>
      <c r="K27" s="296" t="s">
        <v>287</v>
      </c>
      <c r="L27" s="297">
        <f>'App 7 - HH &amp; Capita'!L28</f>
        <v>2.9379281001153106</v>
      </c>
      <c r="M27" s="291"/>
      <c r="N27" s="298" t="s">
        <v>288</v>
      </c>
      <c r="O27" s="298" t="s">
        <v>287</v>
      </c>
      <c r="P27" s="299">
        <v>4.52489327324</v>
      </c>
      <c r="Q27" s="300"/>
      <c r="R27" s="300"/>
      <c r="S27" s="301"/>
      <c r="T27" s="291"/>
      <c r="U27" s="302">
        <f t="shared" si="0"/>
        <v>19.678208704590652</v>
      </c>
      <c r="V27" s="138">
        <f t="shared" si="1"/>
        <v>3</v>
      </c>
      <c r="W27" s="303">
        <f>'App 3 - Recycling Rate'!S28</f>
        <v>0.38223722627180795</v>
      </c>
      <c r="Y27" s="640"/>
      <c r="Z27" s="782" t="s">
        <v>423</v>
      </c>
      <c r="AA27" s="782"/>
      <c r="AB27" s="782"/>
      <c r="AC27" s="782"/>
      <c r="AD27" s="782"/>
      <c r="AE27" s="782"/>
      <c r="AF27" s="782"/>
      <c r="AG27" s="782"/>
      <c r="AH27" s="782"/>
      <c r="AI27" s="782"/>
      <c r="AJ27" s="782"/>
      <c r="AK27" s="782"/>
      <c r="AL27" s="782"/>
      <c r="AM27" s="782"/>
      <c r="AN27" s="782"/>
      <c r="AO27" s="782"/>
      <c r="AP27" s="782"/>
      <c r="AQ27" s="576"/>
      <c r="AR27" s="577" t="s">
        <v>421</v>
      </c>
      <c r="AV27" s="586"/>
    </row>
    <row r="28" spans="1:62" x14ac:dyDescent="0.25">
      <c r="A28" s="8">
        <v>11600</v>
      </c>
      <c r="B28" s="8" t="s">
        <v>90</v>
      </c>
      <c r="C28" s="8" t="s">
        <v>68</v>
      </c>
      <c r="D28" s="29" t="s">
        <v>1</v>
      </c>
      <c r="E28" s="291"/>
      <c r="F28" s="292" t="s">
        <v>288</v>
      </c>
      <c r="G28" s="293" t="s">
        <v>289</v>
      </c>
      <c r="H28" s="294">
        <f>'App 7 - HH &amp; Capita'!G29</f>
        <v>24.04643449419569</v>
      </c>
      <c r="I28" s="291"/>
      <c r="J28" s="295"/>
      <c r="K28" s="296"/>
      <c r="L28" s="297"/>
      <c r="M28" s="291"/>
      <c r="N28" s="298"/>
      <c r="O28" s="298"/>
      <c r="P28" s="299"/>
      <c r="Q28" s="300"/>
      <c r="R28" s="300"/>
      <c r="S28" s="301"/>
      <c r="T28" s="291"/>
      <c r="U28" s="302">
        <f t="shared" si="0"/>
        <v>24.04643449419569</v>
      </c>
      <c r="V28" s="138">
        <f t="shared" si="1"/>
        <v>1</v>
      </c>
      <c r="W28" s="303">
        <f>'App 3 - Recycling Rate'!S29</f>
        <v>6.6137914679455087E-3</v>
      </c>
      <c r="Z28" s="576"/>
      <c r="AA28" s="576"/>
      <c r="AB28" s="783" t="s">
        <v>458</v>
      </c>
      <c r="AC28" s="783"/>
      <c r="AD28" s="783"/>
      <c r="AE28" s="783" t="s">
        <v>460</v>
      </c>
      <c r="AF28" s="783"/>
      <c r="AG28" s="783"/>
      <c r="AH28" s="783" t="s">
        <v>463</v>
      </c>
      <c r="AI28" s="783"/>
      <c r="AJ28" s="783"/>
      <c r="AK28" s="783" t="s">
        <v>7</v>
      </c>
      <c r="AL28" s="783"/>
      <c r="AM28" s="783"/>
      <c r="AO28" s="781" t="s">
        <v>422</v>
      </c>
      <c r="AP28" s="781"/>
      <c r="AQ28" s="781"/>
      <c r="AR28" s="394"/>
      <c r="AS28" s="586"/>
      <c r="BH28" s="119"/>
      <c r="BI28" s="119"/>
      <c r="BJ28" s="119"/>
    </row>
    <row r="29" spans="1:62" x14ac:dyDescent="0.25">
      <c r="A29" s="8">
        <v>11650</v>
      </c>
      <c r="B29" s="8" t="s">
        <v>91</v>
      </c>
      <c r="C29" s="8" t="s">
        <v>23</v>
      </c>
      <c r="D29" s="29" t="s">
        <v>2</v>
      </c>
      <c r="E29" s="291"/>
      <c r="F29" s="292" t="s">
        <v>286</v>
      </c>
      <c r="G29" s="293" t="s">
        <v>289</v>
      </c>
      <c r="H29" s="294">
        <f>'App 7 - HH &amp; Capita'!G30</f>
        <v>11.833577730447884</v>
      </c>
      <c r="I29" s="291"/>
      <c r="J29" s="295" t="s">
        <v>288</v>
      </c>
      <c r="K29" s="296" t="s">
        <v>287</v>
      </c>
      <c r="L29" s="297">
        <f>'App 7 - HH &amp; Capita'!L30</f>
        <v>3.9561445121785308</v>
      </c>
      <c r="M29" s="291"/>
      <c r="N29" s="298" t="s">
        <v>288</v>
      </c>
      <c r="O29" s="298" t="s">
        <v>287</v>
      </c>
      <c r="P29" s="299">
        <v>5.9544345489739996</v>
      </c>
      <c r="Q29" s="300"/>
      <c r="R29" s="300"/>
      <c r="S29" s="301"/>
      <c r="T29" s="291"/>
      <c r="U29" s="302">
        <f t="shared" si="0"/>
        <v>21.744156791600414</v>
      </c>
      <c r="V29" s="138">
        <f t="shared" si="1"/>
        <v>3</v>
      </c>
      <c r="W29" s="303">
        <f>'App 3 - Recycling Rate'!S30</f>
        <v>0.40710753651544418</v>
      </c>
      <c r="Z29" s="578"/>
      <c r="AA29" s="578"/>
      <c r="AB29" s="784" t="s">
        <v>1</v>
      </c>
      <c r="AC29" s="785" t="s">
        <v>412</v>
      </c>
      <c r="AD29" s="785"/>
      <c r="AE29" s="784" t="s">
        <v>1</v>
      </c>
      <c r="AF29" s="785" t="s">
        <v>412</v>
      </c>
      <c r="AG29" s="785"/>
      <c r="AH29" s="784" t="s">
        <v>1</v>
      </c>
      <c r="AI29" s="785" t="s">
        <v>412</v>
      </c>
      <c r="AJ29" s="785"/>
      <c r="AK29" s="784" t="s">
        <v>1</v>
      </c>
      <c r="AL29" s="785" t="s">
        <v>412</v>
      </c>
      <c r="AM29" s="785"/>
      <c r="AO29" s="579" t="s">
        <v>285</v>
      </c>
      <c r="AP29" s="579" t="s">
        <v>280</v>
      </c>
      <c r="AQ29" s="579" t="s">
        <v>282</v>
      </c>
      <c r="AR29" s="580" t="s">
        <v>26</v>
      </c>
      <c r="AS29" s="586"/>
      <c r="BH29" s="119"/>
      <c r="BI29" s="119"/>
      <c r="BJ29" s="119"/>
    </row>
    <row r="30" spans="1:62" x14ac:dyDescent="0.25">
      <c r="A30" s="8">
        <v>11700</v>
      </c>
      <c r="B30" s="8" t="s">
        <v>92</v>
      </c>
      <c r="C30" s="8" t="s">
        <v>38</v>
      </c>
      <c r="D30" s="29" t="s">
        <v>1</v>
      </c>
      <c r="E30" s="291"/>
      <c r="F30" s="292" t="s">
        <v>288</v>
      </c>
      <c r="G30" s="293" t="s">
        <v>419</v>
      </c>
      <c r="H30" s="294">
        <f>'App 7 - HH &amp; Capita'!G31</f>
        <v>14.22394173873464</v>
      </c>
      <c r="I30" s="291"/>
      <c r="J30" s="295"/>
      <c r="K30" s="296"/>
      <c r="L30" s="297"/>
      <c r="M30" s="291"/>
      <c r="N30" s="298"/>
      <c r="O30" s="298"/>
      <c r="P30" s="299"/>
      <c r="Q30" s="300"/>
      <c r="R30" s="300"/>
      <c r="S30" s="301"/>
      <c r="T30" s="291"/>
      <c r="U30" s="302">
        <f t="shared" si="0"/>
        <v>14.22394173873464</v>
      </c>
      <c r="V30" s="138">
        <f t="shared" si="1"/>
        <v>1</v>
      </c>
      <c r="W30" s="303">
        <f>'App 3 - Recycling Rate'!S31</f>
        <v>0.57677331979007962</v>
      </c>
      <c r="Z30" s="601" t="s">
        <v>285</v>
      </c>
      <c r="AA30" s="601" t="s">
        <v>280</v>
      </c>
      <c r="AB30" s="784"/>
      <c r="AC30" s="601" t="s">
        <v>376</v>
      </c>
      <c r="AD30" s="601" t="s">
        <v>282</v>
      </c>
      <c r="AE30" s="784"/>
      <c r="AF30" s="601" t="s">
        <v>376</v>
      </c>
      <c r="AG30" s="601" t="s">
        <v>282</v>
      </c>
      <c r="AH30" s="784"/>
      <c r="AI30" s="601" t="s">
        <v>376</v>
      </c>
      <c r="AJ30" s="601" t="s">
        <v>282</v>
      </c>
      <c r="AK30" s="784"/>
      <c r="AL30" s="601" t="s">
        <v>376</v>
      </c>
      <c r="AM30" s="601" t="s">
        <v>282</v>
      </c>
      <c r="AN30" s="582"/>
      <c r="AO30" s="599" t="str">
        <f t="shared" ref="AO30:AO42" si="14">Z31</f>
        <v>120L</v>
      </c>
      <c r="AP30" s="599" t="str">
        <f t="shared" ref="AP30:AP42" si="15">AA31</f>
        <v>Weekly</v>
      </c>
      <c r="AQ30" s="599">
        <f>AM31</f>
        <v>11.925181711002875</v>
      </c>
      <c r="AR30" s="600">
        <f>AK31</f>
        <v>7</v>
      </c>
      <c r="AS30" s="586"/>
      <c r="BH30" s="119"/>
      <c r="BI30" s="119"/>
      <c r="BJ30" s="119"/>
    </row>
    <row r="31" spans="1:62" x14ac:dyDescent="0.25">
      <c r="A31" s="8">
        <v>11720</v>
      </c>
      <c r="B31" s="8" t="s">
        <v>93</v>
      </c>
      <c r="C31" s="8" t="s">
        <v>23</v>
      </c>
      <c r="D31" s="29" t="s">
        <v>2</v>
      </c>
      <c r="E31" s="291"/>
      <c r="F31" s="292" t="s">
        <v>288</v>
      </c>
      <c r="G31" s="293" t="s">
        <v>289</v>
      </c>
      <c r="H31" s="294">
        <f>'App 7 - HH &amp; Capita'!G32</f>
        <v>13.338785624261881</v>
      </c>
      <c r="I31" s="291"/>
      <c r="J31" s="295" t="s">
        <v>288</v>
      </c>
      <c r="K31" s="296" t="s">
        <v>287</v>
      </c>
      <c r="L31" s="297">
        <f>'App 7 - HH &amp; Capita'!L32</f>
        <v>2.8803489281755272</v>
      </c>
      <c r="M31" s="291"/>
      <c r="N31" s="298" t="s">
        <v>288</v>
      </c>
      <c r="O31" s="298" t="s">
        <v>287</v>
      </c>
      <c r="P31" s="299">
        <v>5.4437635518230003</v>
      </c>
      <c r="Q31" s="300"/>
      <c r="R31" s="300"/>
      <c r="S31" s="301"/>
      <c r="T31" s="291"/>
      <c r="U31" s="302">
        <f t="shared" si="0"/>
        <v>21.66289810426041</v>
      </c>
      <c r="V31" s="138">
        <f t="shared" si="1"/>
        <v>3</v>
      </c>
      <c r="W31" s="303">
        <f>'App 3 - Recycling Rate'!S32</f>
        <v>0.35722106413220345</v>
      </c>
      <c r="Y31" s="376" t="str">
        <f t="shared" ref="Y31:Y37" si="16">Z31&amp;"I"&amp;AA31</f>
        <v>120LIWeekly</v>
      </c>
      <c r="Z31" s="599" t="s">
        <v>290</v>
      </c>
      <c r="AA31" s="599" t="s">
        <v>289</v>
      </c>
      <c r="AB31" s="602" cm="1">
        <f t="array" ref="AB31">SUMPRODUCT(--($F$4:$F$131="120L")*--(IF($G$4:$G$131="Weekly", 1, IF($G$4:$G$131="Weekly^", 1, 0)))*--($D$4:$D$131="S")*--($H$4:$H$131&gt;0))</f>
        <v>3</v>
      </c>
      <c r="AC31" s="603" cm="1">
        <f t="array" ref="AC31">SUMPRODUCT(--($F$4:$F$131="120L")*--(IF($G$4:$G$131="Weekly", 1, IF($G$4:$G$131="Weekly^", 1, 0)))*--($D$4:$D$131="S"),$H$4:$H$131)</f>
        <v>27.914389116639729</v>
      </c>
      <c r="AD31" s="599">
        <f>AC31/AB31</f>
        <v>9.304796372213243</v>
      </c>
      <c r="AE31" s="602" cm="1">
        <f t="array" ref="AE31">SUMPRODUCT(--($F$4:$F$131="120L")*--(IF($G$4:$G$131="Weekly", 1, IF($G$4:$G$131="Weekly^", 1, 0)))*--($D$4:$D$131="R")*--($H$4:$H$131&gt;0))</f>
        <v>1</v>
      </c>
      <c r="AF31" s="603" cm="1">
        <f t="array" ref="AF31">SUMPRODUCT(--($F$4:$F$131="120L")*--(IF($G$4:$G$131="Weekly", 1, IF($G$4:$G$131="Weekly^", 1, 0)))*--($D$4:$D$131="R"),$H$4:$H$131)</f>
        <v>12.234720036344166</v>
      </c>
      <c r="AG31" s="599">
        <f>AF31/AE31</f>
        <v>12.234720036344166</v>
      </c>
      <c r="AH31" s="602" cm="1">
        <f t="array" ref="AH31">SUMPRODUCT(--($F$4:$F$131="120L")*--(IF($G$4:$G$131="Weekly", 1, IF($G$4:$G$131="Weekly^", 1, 0)))*--($D$4:$D$131="N")*--($H$4:$H$131&gt;0))</f>
        <v>3</v>
      </c>
      <c r="AI31" s="603" cm="1">
        <f t="array" ref="AI31">SUMPRODUCT(--($F$4:$F$131="120L")*--(IF($G$4:$G$131="Weekly", 1, IF($G$4:$G$131="Weekly^", 1, 0)))*--($D$4:$D$131="N"),$H$4:$H$131)</f>
        <v>43.327162824036208</v>
      </c>
      <c r="AJ31" s="599">
        <f>AI31/AH31</f>
        <v>14.442387608012069</v>
      </c>
      <c r="AK31" s="602" cm="1">
        <f t="array" ref="AK31">SUMPRODUCT(--($F$4:$F$131="120L")*--(IF($G$4:$G$131="Weekly",1,IF($G$4:$G$131="Weekly^",1,0))))</f>
        <v>7</v>
      </c>
      <c r="AL31" s="603" cm="1">
        <f t="array" ref="AL31">SUMPRODUCT(--($F$4:$F$131="120L")*--(IF($G$4:$G$131="Weekly", 1, IF($G$4:$G$131="Weekly^", 1, 0)))*--($H$4:$H$131))</f>
        <v>83.476271977020119</v>
      </c>
      <c r="AM31" s="599">
        <f>AL31/AK31</f>
        <v>11.925181711002875</v>
      </c>
      <c r="AN31" s="582"/>
      <c r="AO31" s="599" t="str">
        <f t="shared" si="14"/>
        <v>140L</v>
      </c>
      <c r="AP31" s="599" t="str">
        <f t="shared" si="15"/>
        <v>Weekly</v>
      </c>
      <c r="AQ31" s="599">
        <f t="shared" ref="AQ31:AQ35" si="17">AM32</f>
        <v>10.85000323524892</v>
      </c>
      <c r="AR31" s="600">
        <f t="shared" ref="AR31:AR35" si="18">AK32</f>
        <v>19</v>
      </c>
      <c r="AS31" s="586"/>
      <c r="BH31" s="119"/>
      <c r="BI31" s="119"/>
      <c r="BJ31" s="119"/>
    </row>
    <row r="32" spans="1:62" x14ac:dyDescent="0.25">
      <c r="A32" s="8">
        <v>11730</v>
      </c>
      <c r="B32" s="8" t="s">
        <v>94</v>
      </c>
      <c r="C32" s="8" t="s">
        <v>19</v>
      </c>
      <c r="D32" s="29" t="s">
        <v>3</v>
      </c>
      <c r="E32" s="291"/>
      <c r="F32" s="292" t="s">
        <v>288</v>
      </c>
      <c r="G32" s="293" t="s">
        <v>287</v>
      </c>
      <c r="H32" s="294">
        <f>'App 7 - HH &amp; Capita'!G33</f>
        <v>6.9297096451658673</v>
      </c>
      <c r="I32" s="291"/>
      <c r="J32" s="295" t="s">
        <v>291</v>
      </c>
      <c r="K32" s="296" t="s">
        <v>287</v>
      </c>
      <c r="L32" s="297">
        <f>'App 7 - HH &amp; Capita'!L33</f>
        <v>4.4391620609135352</v>
      </c>
      <c r="M32" s="291"/>
      <c r="N32" s="298"/>
      <c r="O32" s="298"/>
      <c r="P32" s="299"/>
      <c r="Q32" s="300" t="s">
        <v>288</v>
      </c>
      <c r="R32" s="300" t="s">
        <v>289</v>
      </c>
      <c r="S32" s="301">
        <v>8.3142987978449003</v>
      </c>
      <c r="T32" s="291"/>
      <c r="U32" s="302">
        <f t="shared" si="0"/>
        <v>19.683170503924302</v>
      </c>
      <c r="V32" s="138">
        <f t="shared" si="1"/>
        <v>4</v>
      </c>
      <c r="W32" s="303">
        <f>'App 3 - Recycling Rate'!S33</f>
        <v>0.61725528653057471</v>
      </c>
      <c r="Y32" s="376" t="str">
        <f t="shared" si="16"/>
        <v>140LIWeekly</v>
      </c>
      <c r="Z32" s="599" t="s">
        <v>286</v>
      </c>
      <c r="AA32" s="599" t="s">
        <v>289</v>
      </c>
      <c r="AB32" s="602" cm="1">
        <f t="array" ref="AB32">SUMPRODUCT(--($F$4:$F$131="140L")*--(IF($G$4:$G$131="Weekly", 1, IF($G$4:$G$131="Weekly^", 1, 0)))*--($D$4:$D$131="S")*--($H$4:$H$131&gt;0))</f>
        <v>4</v>
      </c>
      <c r="AC32" s="603" cm="1">
        <f t="array" ref="AC32">SUMPRODUCT(--($F$4:$F$131="140L")*--(IF($G$4:$G$131="Weekly", 1, IF($G$4:$G$131="Weekly^", 1, 0)))*--($D$4:$D$131="S"),$H$4:$H$131)</f>
        <v>47.254703291949809</v>
      </c>
      <c r="AD32" s="599">
        <f>AC32/AB32</f>
        <v>11.813675822987452</v>
      </c>
      <c r="AE32" s="602" cm="1">
        <f t="array" ref="AE32">SUMPRODUCT(--($F$4:$F$131="140L")*--(IF($G$4:$G$131="Weekly", 1, IF($G$4:$G$131="Weekly^", 1, 0)))*--($D$4:$D$131="R")*--($H$4:$H$131&gt;0))</f>
        <v>2</v>
      </c>
      <c r="AF32" s="603" cm="1">
        <f t="array" ref="AF32">SUMPRODUCT(--($F$4:$F$131="140L")*--(IF($G$4:$G$131="Weekly", 1, IF($G$4:$G$131="Weekly^", 1, 0)))*--($D$4:$D$131="R"),$H$4:$H$131)</f>
        <v>18.837723880883257</v>
      </c>
      <c r="AG32" s="599">
        <f>AF32/AE32</f>
        <v>9.4188619404416283</v>
      </c>
      <c r="AH32" s="602" cm="1">
        <f t="array" ref="AH32">SUMPRODUCT(--($F$4:$F$131="140L")*--(IF($G$4:$G$131="Weekly", 1, IF($G$4:$G$131="Weekly^", 1, 0)))*--($D$4:$D$131="N")*--($H$4:$H$131&gt;0))</f>
        <v>13</v>
      </c>
      <c r="AI32" s="603" cm="1">
        <f t="array" ref="AI32">SUMPRODUCT(--($F$4:$F$131="140L")*--(IF($G$4:$G$131="Weekly", 1, IF($G$4:$G$131="Weekly^", 1, 0)))*--($D$4:$D$131="N"),$H$4:$H$131)</f>
        <v>140.0576342968964</v>
      </c>
      <c r="AJ32" s="599">
        <f>AI32/AH32</f>
        <v>10.773664176684338</v>
      </c>
      <c r="AK32" s="602" cm="1">
        <f t="array" ref="AK32">SUMPRODUCT(--($F$4:$F$131="140L")*--(IF($G$4:$G$131="Weekly",1,IF($G$4:$G$131="Weekly^",1,0))))</f>
        <v>19</v>
      </c>
      <c r="AL32" s="603" cm="1">
        <f t="array" ref="AL32">SUMPRODUCT(--($F$4:$F$131="140L")*--(IF($G$4:$G$131="Weekly", 1, IF($G$4:$G$131="Weekly^", 1, 0)))*--($H$4:$H$131))</f>
        <v>206.15006146972948</v>
      </c>
      <c r="AM32" s="599">
        <f t="shared" ref="AM32:AM36" si="19">AL32/AK32</f>
        <v>10.85000323524892</v>
      </c>
      <c r="AN32" s="582"/>
      <c r="AO32" s="599" t="str">
        <f t="shared" si="14"/>
        <v>240L</v>
      </c>
      <c r="AP32" s="599" t="str">
        <f t="shared" si="15"/>
        <v>Weekly</v>
      </c>
      <c r="AQ32" s="599">
        <f t="shared" si="17"/>
        <v>18.981300739148256</v>
      </c>
      <c r="AR32" s="600">
        <f t="shared" si="18"/>
        <v>66</v>
      </c>
      <c r="AS32" s="586"/>
      <c r="BH32" s="119"/>
      <c r="BI32" s="119"/>
      <c r="BJ32" s="119"/>
    </row>
    <row r="33" spans="1:62" x14ac:dyDescent="0.25">
      <c r="A33" s="8">
        <v>11750</v>
      </c>
      <c r="B33" s="8" t="s">
        <v>95</v>
      </c>
      <c r="C33" s="8" t="s">
        <v>38</v>
      </c>
      <c r="D33" s="29" t="s">
        <v>1</v>
      </c>
      <c r="E33" s="291"/>
      <c r="F33" s="292" t="s">
        <v>288</v>
      </c>
      <c r="G33" s="293" t="s">
        <v>289</v>
      </c>
      <c r="H33" s="294">
        <f>'App 7 - HH &amp; Capita'!G34</f>
        <v>6.7625524614771928</v>
      </c>
      <c r="I33" s="291"/>
      <c r="J33" s="295"/>
      <c r="K33" s="296"/>
      <c r="L33" s="297"/>
      <c r="M33" s="291"/>
      <c r="N33" s="298"/>
      <c r="O33" s="298"/>
      <c r="P33" s="299"/>
      <c r="Q33" s="300"/>
      <c r="R33" s="300"/>
      <c r="S33" s="301"/>
      <c r="T33" s="291"/>
      <c r="U33" s="302">
        <f t="shared" si="0"/>
        <v>6.7625524614771928</v>
      </c>
      <c r="V33" s="138">
        <f t="shared" si="1"/>
        <v>1</v>
      </c>
      <c r="W33" s="303">
        <f>'App 3 - Recycling Rate'!S34</f>
        <v>4.0811671029905384E-2</v>
      </c>
      <c r="Y33" s="376" t="str">
        <f t="shared" si="16"/>
        <v>240LIWeekly</v>
      </c>
      <c r="Z33" s="599" t="s">
        <v>288</v>
      </c>
      <c r="AA33" s="599" t="s">
        <v>289</v>
      </c>
      <c r="AB33" s="602" cm="1">
        <f t="array" ref="AB33">SUMPRODUCT(--($F$4:$F$131="240L")*--(IF($G$4:$G$131="Weekly", 1, IF($G$4:$G$131="Weekly^", 1, 0)))*--($D$4:$D$131="S")*--($H$4:$H$131&gt;0))</f>
        <v>25</v>
      </c>
      <c r="AC33" s="603" cm="1">
        <f t="array" ref="AC33">SUMPRODUCT(--($F$4:$F$131="240L")*--(IF($G$4:$G$131="Weekly", 1, IF($G$4:$G$131="Weekly^", 1, 0)))*--($D$4:$D$131="S"),$H$4:$H$131)</f>
        <v>303.11677598375923</v>
      </c>
      <c r="AD33" s="599">
        <f>AC33/AB33</f>
        <v>12.124671039350369</v>
      </c>
      <c r="AE33" s="602" cm="1">
        <f t="array" ref="AE33">SUMPRODUCT(--($F$4:$F$131="240L")*--(IF($G$4:$G$131="Weekly", 1, IF($G$4:$G$131="Weekly^", 1, 0)))*--($D$4:$D$131="R")*--($H$4:$H$131&gt;0))</f>
        <v>5</v>
      </c>
      <c r="AF33" s="603" cm="1">
        <f t="array" ref="AF33">SUMPRODUCT(--($F$4:$F$131="240L")*--(IF($G$4:$G$131="Weekly", 1, IF($G$4:$G$131="Weekly^", 1, 0)))*--($D$4:$D$131="R"),$H$4:$H$131)</f>
        <v>50.201816681017291</v>
      </c>
      <c r="AG33" s="599">
        <f>AF33/AE33</f>
        <v>10.040363336203459</v>
      </c>
      <c r="AH33" s="602" cm="1">
        <f t="array" ref="AH33">SUMPRODUCT(--($F$4:$F$131="240L")*--(IF($G$4:$G$131="Weekly", 1, IF($G$4:$G$131="Weekly^", 1, 0)))*--($D$4:$D$131="N")*--($H$4:$H$131&gt;0))</f>
        <v>35</v>
      </c>
      <c r="AI33" s="603" cm="1">
        <f t="array" ref="AI33">SUMPRODUCT(--($F$4:$F$131="240L")*--(IF($G$4:$G$131="Weekly", 1, IF($G$4:$G$131="Weekly^", 1, 0)))*--($D$4:$D$131="N"),$H$4:$H$131)</f>
        <v>899.44725611900867</v>
      </c>
      <c r="AJ33" s="599">
        <f>AI33/AH33</f>
        <v>25.698493031971676</v>
      </c>
      <c r="AK33" s="602" cm="1">
        <f t="array" ref="AK33">SUMPRODUCT(--($F$4:$F$131="240L")*--(IF($G$4:$G$131="Weekly",1,IF($G$4:$G$131="Weekly^",1,0))))</f>
        <v>66</v>
      </c>
      <c r="AL33" s="603" cm="1">
        <f t="array" ref="AL33">SUMPRODUCT(--($F$4:$F$131="240L")*--(IF($G$4:$G$131="Weekly", 1, IF($G$4:$G$131="Weekly^", 1, 0)))*--($H$4:$H$131))</f>
        <v>1252.765848783785</v>
      </c>
      <c r="AM33" s="599">
        <f t="shared" si="19"/>
        <v>18.981300739148256</v>
      </c>
      <c r="AN33" s="582"/>
      <c r="AO33" s="599" t="str">
        <f t="shared" si="14"/>
        <v>240L Split (W/R)</v>
      </c>
      <c r="AP33" s="599" t="str">
        <f t="shared" si="15"/>
        <v>Weekly</v>
      </c>
      <c r="AQ33" s="599" t="e">
        <f t="shared" si="17"/>
        <v>#DIV/0!</v>
      </c>
      <c r="AR33" s="600">
        <f t="shared" si="18"/>
        <v>0</v>
      </c>
      <c r="AS33" s="586"/>
      <c r="BH33" s="119"/>
      <c r="BI33" s="119"/>
      <c r="BJ33" s="119"/>
    </row>
    <row r="34" spans="1:62" x14ac:dyDescent="0.25">
      <c r="A34" s="8">
        <v>11800</v>
      </c>
      <c r="B34" s="8" t="s">
        <v>42</v>
      </c>
      <c r="C34" s="8" t="s">
        <v>39</v>
      </c>
      <c r="D34" s="29" t="s">
        <v>3</v>
      </c>
      <c r="E34" s="291"/>
      <c r="F34" s="292" t="s">
        <v>417</v>
      </c>
      <c r="G34" s="293" t="s">
        <v>474</v>
      </c>
      <c r="H34" s="294">
        <f>'App 7 - HH &amp; Capita'!G35</f>
        <v>8.5883297866376118</v>
      </c>
      <c r="I34" s="291"/>
      <c r="J34" s="295" t="s">
        <v>288</v>
      </c>
      <c r="K34" s="296" t="s">
        <v>287</v>
      </c>
      <c r="L34" s="297">
        <f>'App 7 - HH &amp; Capita'!L35</f>
        <v>4.2619451033547948</v>
      </c>
      <c r="M34" s="291"/>
      <c r="N34" s="298"/>
      <c r="O34" s="298"/>
      <c r="P34" s="299"/>
      <c r="Q34" s="300" t="s">
        <v>288</v>
      </c>
      <c r="R34" s="300" t="s">
        <v>289</v>
      </c>
      <c r="S34" s="301">
        <v>8.3381432372800006</v>
      </c>
      <c r="T34" s="291"/>
      <c r="U34" s="302">
        <f t="shared" si="0"/>
        <v>21.188418127272406</v>
      </c>
      <c r="V34" s="138">
        <f t="shared" si="1"/>
        <v>4</v>
      </c>
      <c r="W34" s="303">
        <f>'App 3 - Recycling Rate'!S35</f>
        <v>0.48899606923079797</v>
      </c>
      <c r="Y34" s="376" t="str">
        <f t="shared" si="16"/>
        <v>240L Split (W/R)IWeekly</v>
      </c>
      <c r="Z34" s="599" t="s">
        <v>413</v>
      </c>
      <c r="AA34" s="599" t="s">
        <v>289</v>
      </c>
      <c r="AB34" s="602" cm="1">
        <f t="array" ref="AB34">SUMPRODUCT(--($F$4:$F$131="240Split")*--($G$4:$G$131="Weekly")*--($D$4:$D$131="S")*--($H$4:$H$131&gt;0))</f>
        <v>0</v>
      </c>
      <c r="AC34" s="603" cm="1">
        <f t="array" ref="AC34">SUMPRODUCT(--($F$4:$F$131="240Split")*--(IF($G$4:$G$131="Weekly", 1, IF($G$4:$G$131="Weekly^", 1, 0)))*--($D$4:$D$131="S"),$H$4:$H$131)</f>
        <v>0</v>
      </c>
      <c r="AD34" s="599" t="s">
        <v>419</v>
      </c>
      <c r="AE34" s="602" cm="1">
        <f t="array" ref="AE34">SUMPRODUCT(--($F$4:$F$131="240Split")*--($G$4:$G$131="Weekly")*--($D$4:$D$131="R")*--($H$4:$H$131&gt;0))</f>
        <v>0</v>
      </c>
      <c r="AF34" s="603" cm="1">
        <f t="array" ref="AF34">SUMPRODUCT(--($F$4:$F$131="240Split")*--(IF($G$4:$G$131="Weekly", 1, IF($G$4:$G$131="Weekly^", 1, 0)))*--($D$4:$D$131="R"),$H$4:$H$131)</f>
        <v>0</v>
      </c>
      <c r="AG34" s="599" t="s">
        <v>419</v>
      </c>
      <c r="AH34" s="602" cm="1">
        <f t="array" ref="AH34">SUMPRODUCT(--($F$4:$F$131="240Split")*--($G$4:$G$131="Weekly")*--($D$4:$D$131="N")*--($H$4:$H$131&gt;0))</f>
        <v>0</v>
      </c>
      <c r="AI34" s="603" cm="1">
        <f t="array" ref="AI34">SUMPRODUCT(--($F$4:$F$131="240Split")*--(IF($G$4:$G$131="Weekly", 1, IF($G$4:$G$131="Weekly^", 1, 0)))*--($D$4:$D$131="N"),$H$4:$H$131)</f>
        <v>0</v>
      </c>
      <c r="AJ34" s="599"/>
      <c r="AK34" s="602" cm="1">
        <f t="array" ref="AK34">SUMPRODUCT(--($F$4:$F$131="240Split")*--(IF($G$4:$G$131="Weekly", 1, IF($G$4:$G$131="Weekly^", 1, 0))))</f>
        <v>0</v>
      </c>
      <c r="AL34" s="603" cm="1">
        <f t="array" ref="AL34">SUMPRODUCT(--($F$4:$F$131="240Split")*--(IF($G$4:$G$131="Weekly", 1, IF($G$4:$G$131="Weekly^", 1, 0)))*--($H$4:$H$131))</f>
        <v>0</v>
      </c>
      <c r="AM34" s="599" t="e">
        <f t="shared" si="19"/>
        <v>#DIV/0!</v>
      </c>
      <c r="AN34" s="582"/>
      <c r="AO34" s="599" t="str">
        <f t="shared" si="14"/>
        <v>55L</v>
      </c>
      <c r="AP34" s="599" t="str">
        <f t="shared" si="15"/>
        <v>Weekly</v>
      </c>
      <c r="AQ34" s="599" t="e">
        <f t="shared" si="17"/>
        <v>#DIV/0!</v>
      </c>
      <c r="AR34" s="600">
        <f t="shared" si="18"/>
        <v>0</v>
      </c>
      <c r="AS34" s="586"/>
      <c r="BH34" s="119"/>
      <c r="BI34" s="119"/>
      <c r="BJ34" s="119"/>
    </row>
    <row r="35" spans="1:62" x14ac:dyDescent="0.25">
      <c r="A35" s="8">
        <v>12000</v>
      </c>
      <c r="B35" s="8" t="s">
        <v>96</v>
      </c>
      <c r="C35" s="8" t="s">
        <v>21</v>
      </c>
      <c r="D35" s="29" t="s">
        <v>1</v>
      </c>
      <c r="E35" s="291"/>
      <c r="F35" s="292" t="s">
        <v>286</v>
      </c>
      <c r="G35" s="293" t="s">
        <v>289</v>
      </c>
      <c r="H35" s="294">
        <f>'App 7 - HH &amp; Capita'!G36</f>
        <v>8.6889854331714798</v>
      </c>
      <c r="I35" s="291"/>
      <c r="J35" s="295" t="s">
        <v>288</v>
      </c>
      <c r="K35" s="296" t="s">
        <v>287</v>
      </c>
      <c r="L35" s="297">
        <f>'App 7 - HH &amp; Capita'!L36</f>
        <v>6.4724919093851128</v>
      </c>
      <c r="M35" s="291"/>
      <c r="N35" s="298"/>
      <c r="O35" s="298"/>
      <c r="P35" s="299"/>
      <c r="Q35" s="300" t="s">
        <v>288</v>
      </c>
      <c r="R35" s="300" t="s">
        <v>287</v>
      </c>
      <c r="S35" s="301">
        <v>3.8657268779999998</v>
      </c>
      <c r="T35" s="291"/>
      <c r="U35" s="302">
        <f t="shared" si="0"/>
        <v>19.027204220556591</v>
      </c>
      <c r="V35" s="138">
        <f t="shared" si="1"/>
        <v>4</v>
      </c>
      <c r="W35" s="303">
        <f>'App 3 - Recycling Rate'!S36</f>
        <v>0.62652297247023814</v>
      </c>
      <c r="Y35" s="376" t="str">
        <f t="shared" si="16"/>
        <v>55LIWeekly</v>
      </c>
      <c r="Z35" s="599" t="s">
        <v>294</v>
      </c>
      <c r="AA35" s="599" t="s">
        <v>289</v>
      </c>
      <c r="AB35" s="602" cm="1">
        <f t="array" ref="AB35">SUMPRODUCT(--($F$4:$F$131="55L")*--(IF($G$4:$G$131="Weekly", 1, IF($G$4:$G$131="Weekly^", 1, 0)))*--($D$4:$D$131="S")*--($H$4:$H$131&gt;0))</f>
        <v>0</v>
      </c>
      <c r="AC35" s="603" cm="1">
        <f t="array" ref="AC35">SUMPRODUCT(--($F$4:$F$131="55L")*--(IF($G$4:$G$131="Weekly", 1, IF($G$4:$G$131="Weekly^", 1, 0)))*--($D$4:$D$131="S"),$H$4:$H$131)</f>
        <v>0</v>
      </c>
      <c r="AD35" s="599" t="s">
        <v>419</v>
      </c>
      <c r="AE35" s="602" cm="1">
        <f t="array" ref="AE35">SUMPRODUCT(--($F$4:$F$131="55L")*--(IF($G$4:$G$131="Weekly", 1, IF($G$4:$G$131="Weekly^", 1, 0)))*--($D$4:$D$131="R")*--($H$4:$H$131&gt;0))</f>
        <v>0</v>
      </c>
      <c r="AF35" s="603" cm="1">
        <f t="array" ref="AF35">SUMPRODUCT(--($F$4:$F$131="55L")*--(IF($G$4:$G$131="Weekly", 1, IF($G$4:$G$131="Weekly^", 1, 0)))*--($D$4:$D$131="R"),$H$4:$H$131)</f>
        <v>0</v>
      </c>
      <c r="AG35" s="599"/>
      <c r="AH35" s="602" cm="1">
        <f t="array" ref="AH35">SUMPRODUCT(--($F$4:$F$131="55L")*--(IF($G$4:$G$131="Weekly", 1, IF($G$4:$G$131="Weekly^", 1, 0)))*--($D$4:$D$131="N")*--($H$4:$H$131&gt;0))</f>
        <v>0</v>
      </c>
      <c r="AI35" s="603" cm="1">
        <f t="array" ref="AI35">SUMPRODUCT(--($F$4:$F$131="55L")*--(IF($G$4:$G$131="Weekly", 1, IF($G$4:$G$131="Weekly^", 1, 0)))*--($D$4:$D$131="N"),$H$4:$H$131)</f>
        <v>0</v>
      </c>
      <c r="AJ35" s="599"/>
      <c r="AK35" s="602" cm="1">
        <f t="array" ref="AK35">SUMPRODUCT(--($F$4:$F$131="55L")*--(IF($G$4:$G$131="Weekly", 1, IF($G$4:$G$131="Weekly^", 1, 0))))</f>
        <v>0</v>
      </c>
      <c r="AL35" s="603" cm="1">
        <f t="array" ref="AL35">SUMPRODUCT(--($F$4:$F$131="55L")*--(IF($G$4:$G$131="Weekly", 1, IF($G$4:$G$131="Weekly^", 1, 0)))*--($H$4:$H$131))</f>
        <v>0</v>
      </c>
      <c r="AM35" s="599" t="e">
        <f t="shared" si="19"/>
        <v>#DIV/0!</v>
      </c>
      <c r="AN35" s="582"/>
      <c r="AO35" s="599" t="str">
        <f t="shared" si="14"/>
        <v>80L</v>
      </c>
      <c r="AP35" s="599" t="str">
        <f t="shared" si="15"/>
        <v>Weekly</v>
      </c>
      <c r="AQ35" s="599">
        <f t="shared" si="17"/>
        <v>17.929410945214396</v>
      </c>
      <c r="AR35" s="600">
        <f t="shared" si="18"/>
        <v>2</v>
      </c>
      <c r="AS35" s="586"/>
      <c r="BH35" s="119"/>
      <c r="BI35" s="119"/>
      <c r="BJ35" s="119"/>
    </row>
    <row r="36" spans="1:62" x14ac:dyDescent="0.25">
      <c r="A36" s="8">
        <v>12150</v>
      </c>
      <c r="B36" s="8" t="s">
        <v>97</v>
      </c>
      <c r="C36" s="8" t="s">
        <v>38</v>
      </c>
      <c r="D36" s="29" t="s">
        <v>1</v>
      </c>
      <c r="E36" s="291"/>
      <c r="F36" s="292" t="s">
        <v>288</v>
      </c>
      <c r="G36" s="293" t="s">
        <v>289</v>
      </c>
      <c r="H36" s="294">
        <f>'App 7 - HH &amp; Capita'!G37</f>
        <v>60.002400096003839</v>
      </c>
      <c r="I36" s="291"/>
      <c r="J36" s="295"/>
      <c r="K36" s="296"/>
      <c r="L36" s="297"/>
      <c r="M36" s="291"/>
      <c r="N36" s="298"/>
      <c r="O36" s="298"/>
      <c r="P36" s="299"/>
      <c r="Q36" s="300"/>
      <c r="R36" s="300"/>
      <c r="S36" s="301"/>
      <c r="T36" s="291"/>
      <c r="U36" s="302">
        <f t="shared" si="0"/>
        <v>60.002400096003839</v>
      </c>
      <c r="V36" s="138">
        <f t="shared" si="1"/>
        <v>1</v>
      </c>
      <c r="W36" s="303">
        <f>'App 3 - Recycling Rate'!S37</f>
        <v>1.5391886336839359E-2</v>
      </c>
      <c r="Y36" s="376" t="str">
        <f>Z36&amp;"I"&amp;AA36</f>
        <v>80LIWeekly</v>
      </c>
      <c r="Z36" s="599" t="s">
        <v>292</v>
      </c>
      <c r="AA36" s="599" t="s">
        <v>289</v>
      </c>
      <c r="AB36" s="602" cm="1">
        <f t="array" ref="AB36">SUMPRODUCT(--($F$4:$F$131="80L")*--(IF($G$4:$G$131="Weekly", 1, IF($G$4:$G$131="Weekly^", 1, 0)))*--($D$4:$D$131="S")*--($H$4:$H$131&gt;0))</f>
        <v>2</v>
      </c>
      <c r="AC36" s="603" cm="1">
        <f t="array" ref="AC36">SUMPRODUCT(--($F$4:$F$131="80L")*--(IF($G$4:$G$131="Weekly", 1, IF($G$4:$G$131="Weekly^", 1, 0)))*--($D$4:$D$131="S"),$H$4:$H$131)</f>
        <v>35.858821890428793</v>
      </c>
      <c r="AD36" s="599">
        <f t="shared" ref="AD36:AD40" si="20">AC36/AB36</f>
        <v>17.929410945214396</v>
      </c>
      <c r="AE36" s="602" cm="1">
        <f t="array" ref="AE36">SUMPRODUCT(--($F$4:$F$131="80L")*--(IF($G$4:$G$131="Weekly", 1, IF($G$4:$G$131="Weekly^", 1, 0)))*--($D$4:$D$131="R")*--($H$4:$H$131&gt;0))</f>
        <v>0</v>
      </c>
      <c r="AF36" s="603" cm="1">
        <f t="array" ref="AF36">SUMPRODUCT(--($F$4:$F$131="80L")*--(IF($G$4:$G$131="Weekly", 1, IF($G$4:$G$131="Weekly^", 1, 0)))*--($D$4:$D$131="R"),$H$4:$H$131)</f>
        <v>0</v>
      </c>
      <c r="AG36" s="599"/>
      <c r="AH36" s="602" cm="1">
        <f t="array" ref="AH36">SUMPRODUCT(--($F$4:$F$131="80L")*--(IF($G$4:$G$131="Weekly", 1, IF($G$4:$G$131="Weekly^", 1, 0)))*--($D$4:$D$131="N")*--($H$4:$H$131&gt;0))</f>
        <v>0</v>
      </c>
      <c r="AI36" s="603" cm="1">
        <f t="array" ref="AI36">SUMPRODUCT(--($F$4:$F$131="80L")*--(IF($G$4:$G$131="Weekly", 1, IF($G$4:$G$131="Weekly^", 1, 0)))*--($D$4:$D$131="N"),$H$4:$H$131)</f>
        <v>0</v>
      </c>
      <c r="AJ36" s="599"/>
      <c r="AK36" s="602" cm="1">
        <f t="array" ref="AK36">SUMPRODUCT(--($F$4:$F$131="80L")*--(IF($G$4:$G$131="Weekly", 1, IF($G$4:$G$131="Weekly^", 1, 0))))</f>
        <v>2</v>
      </c>
      <c r="AL36" s="603" cm="1">
        <f t="array" ref="AL36">SUMPRODUCT(--($F$4:$F$131="80L")*--(IF($G$4:$G$131="Weekly", 1, IF($G$4:$G$131="Weekly^", 1, 0)))*--($H$4:$H$131))</f>
        <v>35.858821890428793</v>
      </c>
      <c r="AM36" s="599">
        <f t="shared" si="19"/>
        <v>17.929410945214396</v>
      </c>
      <c r="AN36" s="582"/>
      <c r="AO36" s="599" t="str">
        <f t="shared" si="14"/>
        <v>1100L</v>
      </c>
      <c r="AP36" s="599" t="str">
        <f t="shared" si="15"/>
        <v>Weekly</v>
      </c>
      <c r="AQ36" s="599">
        <f t="shared" ref="AQ36" si="21">AM37</f>
        <v>17.929410945214396</v>
      </c>
      <c r="AR36" s="600">
        <f t="shared" ref="AR36" si="22">AK37</f>
        <v>2</v>
      </c>
      <c r="AS36" s="586"/>
      <c r="BH36" s="119"/>
      <c r="BI36" s="119"/>
      <c r="BJ36" s="119"/>
    </row>
    <row r="37" spans="1:62" x14ac:dyDescent="0.25">
      <c r="A37" s="8">
        <v>12160</v>
      </c>
      <c r="B37" s="8" t="s">
        <v>98</v>
      </c>
      <c r="C37" s="8" t="s">
        <v>21</v>
      </c>
      <c r="D37" s="29" t="s">
        <v>1</v>
      </c>
      <c r="E37" s="291"/>
      <c r="F37" s="292" t="s">
        <v>286</v>
      </c>
      <c r="G37" s="293" t="s">
        <v>289</v>
      </c>
      <c r="H37" s="294">
        <f>'App 7 - HH &amp; Capita'!G38</f>
        <v>9.4661222603135471</v>
      </c>
      <c r="I37" s="291"/>
      <c r="J37" s="295" t="s">
        <v>288</v>
      </c>
      <c r="K37" s="296" t="s">
        <v>287</v>
      </c>
      <c r="L37" s="297">
        <f>'App 7 - HH &amp; Capita'!L38</f>
        <v>2.924193983282616</v>
      </c>
      <c r="M37" s="291"/>
      <c r="N37" s="298" t="s">
        <v>288</v>
      </c>
      <c r="O37" s="298" t="s">
        <v>287</v>
      </c>
      <c r="P37" s="299">
        <v>5.3885967794939198</v>
      </c>
      <c r="Q37" s="300"/>
      <c r="R37" s="300"/>
      <c r="S37" s="301">
        <v>1</v>
      </c>
      <c r="T37" s="291"/>
      <c r="U37" s="302">
        <f t="shared" si="0"/>
        <v>18.778913023090084</v>
      </c>
      <c r="V37" s="138">
        <f t="shared" si="1"/>
        <v>3</v>
      </c>
      <c r="W37" s="303">
        <f>'App 3 - Recycling Rate'!S38</f>
        <v>0.50252784925666538</v>
      </c>
      <c r="Y37" s="376" t="str">
        <f t="shared" si="16"/>
        <v>1100LIWeekly</v>
      </c>
      <c r="Z37" s="599" t="s">
        <v>469</v>
      </c>
      <c r="AA37" s="599" t="s">
        <v>289</v>
      </c>
      <c r="AB37" s="602" cm="1">
        <f t="array" ref="AB37">SUMPRODUCT(--($F$4:$F$131="1100L")*--(IF($G$4:$G$131="Weekly", 1, IF($G$4:$G$131="Weekly^", 1, 0)))*--($D$4:$D$131="S")*--($H$4:$H$131&gt;0))</f>
        <v>1</v>
      </c>
      <c r="AC37" s="603" cm="1">
        <f t="array" ref="AC37">SUMPRODUCT(--($F$4:$F$131="1100L")*--(IF($G$4:$G$131="Weekly", 1, IF($G$4:$G$131="Weekly^", 1, 0)))*--($D$4:$D$131="S"),$H$4:$H$131)</f>
        <v>9.2511583053575706</v>
      </c>
      <c r="AD37" s="599">
        <f t="shared" si="20"/>
        <v>9.2511583053575706</v>
      </c>
      <c r="AE37" s="602" cm="1">
        <f t="array" ref="AE37">SUMPRODUCT(--($F$4:$F$131="1100L")*--(IF($G$4:$G$131="Weekly", 1, IF($G$4:$G$131="Weekly^", 1, 0)))*--($D$4:$D$131="R")*--($H$4:$H$131&gt;0))</f>
        <v>0</v>
      </c>
      <c r="AF37" s="603" cm="1">
        <f t="array" ref="AF37">SUMPRODUCT(--($F$4:$F$131="1100L")*--(IF($G$4:$G$131="Weekly", 1, IF($G$4:$G$131="Weekly^", 1, 0)))*--($D$4:$D$131="R"),$H$4:$H$131)</f>
        <v>0</v>
      </c>
      <c r="AG37" s="599"/>
      <c r="AH37" s="602" cm="1">
        <f t="array" ref="AH37">SUMPRODUCT(--($F$4:$F$131="1100L")*--(IF($G$4:$G$131="Weekly", 1, IF($G$4:$G$131="Weekly^", 1, 0)))*--($D$4:$D$131="N")*--($H$4:$H$131&gt;0))</f>
        <v>1</v>
      </c>
      <c r="AI37" s="603" cm="1">
        <f t="array" ref="AI37">SUMPRODUCT(--($F$4:$F$131="1100L")*--(IF($G$4:$G$131="Weekly", 1, IF($G$4:$G$131="Weekly^", 1, 0)))*--($D$4:$D$131="N"),$H$4:$H$131)</f>
        <v>9.3328717187291801</v>
      </c>
      <c r="AJ37" s="599"/>
      <c r="AK37" s="602" cm="1">
        <f t="array" ref="AK37">SUMPRODUCT(--($F$4:$F$131="80L")*--(IF($G$4:$G$131="Weekly", 1, IF($G$4:$G$131="Weekly^", 1, 0))))</f>
        <v>2</v>
      </c>
      <c r="AL37" s="603" cm="1">
        <f t="array" ref="AL37">SUMPRODUCT(--($F$4:$F$131="80L")*--(IF($G$4:$G$131="Weekly", 1, IF($G$4:$G$131="Weekly^", 1, 0)))*--($H$4:$H$131))</f>
        <v>35.858821890428793</v>
      </c>
      <c r="AM37" s="599">
        <f t="shared" ref="AM37" si="23">AL37/AK37</f>
        <v>17.929410945214396</v>
      </c>
      <c r="AN37" s="582"/>
      <c r="AO37" s="599" t="str">
        <f t="shared" si="14"/>
        <v>120L</v>
      </c>
      <c r="AP37" s="599" t="str">
        <f t="shared" si="15"/>
        <v>Fortnightly</v>
      </c>
      <c r="AQ37" s="599" t="e">
        <f t="shared" ref="AQ37:AQ42" si="24">AM38</f>
        <v>#DIV/0!</v>
      </c>
      <c r="AR37" s="600">
        <f t="shared" ref="AR37:AR42" si="25">AK38</f>
        <v>0</v>
      </c>
      <c r="AS37" s="586"/>
      <c r="BH37" s="119"/>
      <c r="BI37" s="119"/>
      <c r="BJ37" s="119"/>
    </row>
    <row r="38" spans="1:62" x14ac:dyDescent="0.25">
      <c r="A38" s="8">
        <v>12350</v>
      </c>
      <c r="B38" s="8" t="s">
        <v>99</v>
      </c>
      <c r="C38" s="8" t="s">
        <v>38</v>
      </c>
      <c r="D38" s="29" t="s">
        <v>1</v>
      </c>
      <c r="E38" s="291"/>
      <c r="F38" s="292" t="s">
        <v>288</v>
      </c>
      <c r="G38" s="293" t="s">
        <v>289</v>
      </c>
      <c r="H38" s="294">
        <f>'App 7 - HH &amp; Capita'!G39</f>
        <v>12.704288718274732</v>
      </c>
      <c r="I38" s="291"/>
      <c r="J38" s="295" t="s">
        <v>288</v>
      </c>
      <c r="K38" s="296" t="s">
        <v>287</v>
      </c>
      <c r="L38" s="297">
        <f>'App 7 - HH &amp; Capita'!L39</f>
        <v>3.517219818845478</v>
      </c>
      <c r="M38" s="291"/>
      <c r="N38" s="298"/>
      <c r="O38" s="298"/>
      <c r="P38" s="299"/>
      <c r="Q38" s="300"/>
      <c r="R38" s="300"/>
      <c r="S38" s="301"/>
      <c r="T38" s="291"/>
      <c r="U38" s="302">
        <f t="shared" si="0"/>
        <v>16.221508537120211</v>
      </c>
      <c r="V38" s="138">
        <f t="shared" si="1"/>
        <v>2</v>
      </c>
      <c r="W38" s="303">
        <f>'App 3 - Recycling Rate'!S39</f>
        <v>0.40176440541860298</v>
      </c>
      <c r="Y38" s="376" t="str">
        <f t="shared" ref="Y38:Y43" si="26">Z38&amp;"I"&amp;AA38</f>
        <v>120LIFortnightly</v>
      </c>
      <c r="Z38" s="599" t="s">
        <v>290</v>
      </c>
      <c r="AA38" s="599" t="s">
        <v>414</v>
      </c>
      <c r="AB38" s="602" cm="1">
        <f t="array" ref="AB38">SUMPRODUCT(--($F$4:$F$131="120L")*--(IF($G$4:$G$131="F/N", 1, IF($G$4:$G$131="F/N^", 1, 0)))*--($D$4:$D$131="S")*--($H$4:$H$131&gt;0))</f>
        <v>0</v>
      </c>
      <c r="AC38" s="603" cm="1">
        <f t="array" ref="AC38">SUMPRODUCT(--($F$4:$F$131="120L")*--(IF($G$4:$G$131="F/N", 1, IF($G$4:$G$131="F/N^", 1, 0)))*--($D$4:$D$131="S"),$H$4:$H$131)</f>
        <v>0</v>
      </c>
      <c r="AD38" s="599" t="s">
        <v>419</v>
      </c>
      <c r="AE38" s="602" cm="1">
        <f t="array" ref="AE38">SUMPRODUCT(--($F$4:$F$131="120L")*--(IF($G$4:$G$131="F/N", 1, IF($G$4:$G$131="F/N^", 1, 0)))*--($D$4:$D$131="R")*--($H$4:$H$131&gt;0))</f>
        <v>0</v>
      </c>
      <c r="AF38" s="603" cm="1">
        <f t="array" ref="AF38">SUMPRODUCT(--($F$4:$F$131="120L")*--(IF($G$4:$G$131="F/N", 1, IF($G$4:$G$131="F/N^", 1, 0)))*--($D$4:$D$131="R"),$H$4:$H$131)</f>
        <v>0</v>
      </c>
      <c r="AG38" s="599"/>
      <c r="AH38" s="602" cm="1">
        <f t="array" ref="AH38">SUMPRODUCT(--($F$4:$F$131="120L")*--(IF($G$4:$G$131="F/N", 1, IF($G$4:$G$131="F/N^", 1, 0)))*--($D$4:$D$131="N")*--($H$4:$H$131&gt;0))</f>
        <v>0</v>
      </c>
      <c r="AI38" s="603" cm="1">
        <f t="array" ref="AI38">SUMPRODUCT(--($F$4:$F$131="120L")*--(IF($G$4:$G$131="F/N", 1, IF($G$4:$G$131="F/N^", 1, 0)))*--($D$4:$D$131="N"),$H$4:$H$131)</f>
        <v>0</v>
      </c>
      <c r="AJ38" s="599"/>
      <c r="AK38" s="602" cm="1">
        <f t="array" ref="AK38">SUMPRODUCT(--($F$4:$F$131="120L")*--(IF($G$4:$G$131="F/N", 1, IF($G$4:$G$131="F/N^", 1, 0))))</f>
        <v>0</v>
      </c>
      <c r="AL38" s="603" cm="1">
        <f t="array" ref="AL38">SUMPRODUCT(--($F$4:$F$131="120L")*--($G$4:$G$131="F/N")*--($H$4:$H$131))</f>
        <v>0</v>
      </c>
      <c r="AM38" s="599" t="e">
        <f t="shared" ref="AM38:AM43" si="27">AL38/AK38</f>
        <v>#DIV/0!</v>
      </c>
      <c r="AN38" s="582"/>
      <c r="AO38" s="599" t="str">
        <f t="shared" si="14"/>
        <v>140L</v>
      </c>
      <c r="AP38" s="599" t="str">
        <f t="shared" si="15"/>
        <v>Fortnightly</v>
      </c>
      <c r="AQ38" s="599">
        <f t="shared" si="24"/>
        <v>8.2069292900013302</v>
      </c>
      <c r="AR38" s="600">
        <f t="shared" si="25"/>
        <v>7</v>
      </c>
      <c r="AS38" s="586"/>
      <c r="BH38" s="119"/>
      <c r="BI38" s="119"/>
      <c r="BJ38" s="119"/>
    </row>
    <row r="39" spans="1:62" x14ac:dyDescent="0.25">
      <c r="A39" s="8">
        <v>12380</v>
      </c>
      <c r="B39" s="8" t="s">
        <v>47</v>
      </c>
      <c r="C39" s="8" t="s">
        <v>18</v>
      </c>
      <c r="D39" s="29" t="s">
        <v>2</v>
      </c>
      <c r="E39" s="291"/>
      <c r="F39" s="292" t="s">
        <v>286</v>
      </c>
      <c r="G39" s="293" t="s">
        <v>289</v>
      </c>
      <c r="H39" s="294">
        <f>'App 7 - HH &amp; Capita'!G40</f>
        <v>14.895850436960167</v>
      </c>
      <c r="I39" s="291"/>
      <c r="J39" s="295" t="s">
        <v>288</v>
      </c>
      <c r="K39" s="296" t="s">
        <v>287</v>
      </c>
      <c r="L39" s="297">
        <f>'App 7 - HH &amp; Capita'!L40</f>
        <v>5.7352295650964145</v>
      </c>
      <c r="M39" s="291"/>
      <c r="N39" s="298" t="s">
        <v>288</v>
      </c>
      <c r="O39" s="298" t="s">
        <v>287</v>
      </c>
      <c r="P39" s="299">
        <v>4.5297437229458</v>
      </c>
      <c r="Q39" s="300"/>
      <c r="R39" s="300"/>
      <c r="S39" s="301"/>
      <c r="T39" s="291"/>
      <c r="U39" s="302">
        <f t="shared" si="0"/>
        <v>25.160823725002381</v>
      </c>
      <c r="V39" s="138">
        <f t="shared" si="1"/>
        <v>3</v>
      </c>
      <c r="W39" s="303">
        <f>'App 3 - Recycling Rate'!S40</f>
        <v>0.21143632090127831</v>
      </c>
      <c r="Y39" s="376" t="str">
        <f t="shared" si="26"/>
        <v>140LIFortnightly</v>
      </c>
      <c r="Z39" s="599" t="s">
        <v>286</v>
      </c>
      <c r="AA39" s="599" t="s">
        <v>414</v>
      </c>
      <c r="AB39" s="602" cm="1">
        <f t="array" ref="AB39">SUMPRODUCT(--($F$4:$F$131="140L")*--(IF($G$4:$G$131="F/N", 1, IF($G$4:$G$131="F/N^", 1, 0)))*--($D$4:$D$131="S")*--($H$4:$H$131&gt;0))</f>
        <v>1</v>
      </c>
      <c r="AC39" s="603" cm="1">
        <f t="array" ref="AC39">SUMPRODUCT(--($F$4:$F$131="140L")*--(IF($G$4:$G$131="F/N", 1, IF($G$4:$G$131="F/N^", 1, 0)))*--($D$4:$D$131="S"),$H$4:$H$131)</f>
        <v>4.9965351518327497</v>
      </c>
      <c r="AD39" s="599">
        <f t="shared" si="20"/>
        <v>4.9965351518327497</v>
      </c>
      <c r="AE39" s="602" cm="1">
        <f t="array" ref="AE39">SUMPRODUCT(--($F$4:$F$131="140L")*--(IF($G$4:$G$131="F/N", 1, IF($G$4:$G$131="F/N^", 1, 0)))*--($D$4:$D$131="R")*--($H$4:$H$131&gt;0))</f>
        <v>2</v>
      </c>
      <c r="AF39" s="603" cm="1">
        <f t="array" ref="AF39">SUMPRODUCT(--($F$4:$F$131="140L")*--(IF($G$4:$G$131="F/N", 1, IF($G$4:$G$131="F/N^", 1, 0)))*--($D$4:$D$131="R"),$H$4:$H$131)</f>
        <v>15.789317091673112</v>
      </c>
      <c r="AG39" s="599">
        <f>AF39/AE39</f>
        <v>7.8946585458365561</v>
      </c>
      <c r="AH39" s="602" cm="1">
        <f t="array" ref="AH39">SUMPRODUCT(--($F$4:$F$131="140L")*--(IF($G$4:$G$131="F/N", 1, IF($G$4:$G$131="F/N^", 1, 0)))*--($D$4:$D$131="N")*--($H$4:$H$131&gt;0))</f>
        <v>4</v>
      </c>
      <c r="AI39" s="603" cm="1">
        <f t="array" ref="AI39">SUMPRODUCT(--($F$4:$F$131="140L")*--(IF($G$4:$G$131="F/N", 1, IF($G$4:$G$131="F/N^", 1, 0)))*--($D$4:$D$131="N"),$H$4:$H$131)</f>
        <v>36.662652786503457</v>
      </c>
      <c r="AJ39" s="599">
        <f>AI39/AH39</f>
        <v>9.1656631966258644</v>
      </c>
      <c r="AK39" s="602" cm="1">
        <f t="array" ref="AK39">SUMPRODUCT(--($F$4:$F$131="140L")*--(IF($G$4:$G$131="F/N", 1, IF($G$4:$G$131="F/N^", 1, 0))))</f>
        <v>7</v>
      </c>
      <c r="AL39" s="603" cm="1">
        <f t="array" ref="AL39">SUMPRODUCT(--($F$4:$F$131="140L")*--(IF($G$4:$G$131="F/N", 1, IF($G$4:$G$131="F/N^", 1, 0)))*--($H$4:$H$131))</f>
        <v>57.448505030009315</v>
      </c>
      <c r="AM39" s="599">
        <f t="shared" si="27"/>
        <v>8.2069292900013302</v>
      </c>
      <c r="AN39" s="582"/>
      <c r="AO39" s="599" t="str">
        <f t="shared" si="14"/>
        <v>240L</v>
      </c>
      <c r="AP39" s="599" t="str">
        <f t="shared" si="15"/>
        <v>Fortnightly</v>
      </c>
      <c r="AQ39" s="599">
        <f t="shared" si="24"/>
        <v>8.4378876298570624</v>
      </c>
      <c r="AR39" s="600">
        <f t="shared" si="25"/>
        <v>16</v>
      </c>
      <c r="AS39" s="586"/>
      <c r="BH39" s="119"/>
      <c r="BI39" s="119"/>
      <c r="BJ39" s="119"/>
    </row>
    <row r="40" spans="1:62" x14ac:dyDescent="0.25">
      <c r="A40" s="8">
        <v>12390</v>
      </c>
      <c r="B40" s="8" t="s">
        <v>100</v>
      </c>
      <c r="C40" s="8" t="s">
        <v>38</v>
      </c>
      <c r="D40" s="29" t="s">
        <v>1</v>
      </c>
      <c r="E40" s="291"/>
      <c r="F40" s="292" t="s">
        <v>288</v>
      </c>
      <c r="G40" s="293" t="s">
        <v>289</v>
      </c>
      <c r="H40" s="294">
        <f>'App 7 - HH &amp; Capita'!G41</f>
        <v>9.8107590655655645</v>
      </c>
      <c r="I40" s="291"/>
      <c r="J40" s="295" t="s">
        <v>288</v>
      </c>
      <c r="K40" s="296" t="s">
        <v>287</v>
      </c>
      <c r="L40" s="297">
        <f>'App 7 - HH &amp; Capita'!L41</f>
        <v>2.6900060358790991</v>
      </c>
      <c r="M40" s="291"/>
      <c r="N40" s="298"/>
      <c r="O40" s="298"/>
      <c r="P40" s="299"/>
      <c r="Q40" s="300" t="s">
        <v>288</v>
      </c>
      <c r="R40" s="300" t="s">
        <v>289</v>
      </c>
      <c r="S40" s="301">
        <v>7.9134859459492004</v>
      </c>
      <c r="T40" s="291"/>
      <c r="U40" s="302">
        <f t="shared" si="0"/>
        <v>20.414251047393865</v>
      </c>
      <c r="V40" s="138">
        <f t="shared" si="1"/>
        <v>4</v>
      </c>
      <c r="W40" s="303">
        <f>'App 3 - Recycling Rate'!S41</f>
        <v>0.28005733452470005</v>
      </c>
      <c r="Y40" s="376" t="str">
        <f t="shared" si="26"/>
        <v>240LIFortnightly</v>
      </c>
      <c r="Z40" s="599" t="s">
        <v>288</v>
      </c>
      <c r="AA40" s="599" t="s">
        <v>414</v>
      </c>
      <c r="AB40" s="602" cm="1">
        <f t="array" ref="AB40">SUMPRODUCT(--($F$4:$F$131="240L")*--(IF($G$4:$G$131="F/N", 1, IF($G$4:$G$131="F/N^", 1, 0)))*--($D$4:$D$131="S")*--($H$4:$H$131&gt;0))</f>
        <v>5</v>
      </c>
      <c r="AC40" s="603" cm="1">
        <f t="array" ref="AC40">SUMPRODUCT(--($F$4:$F$131="240L")*--(IF($G$4:$G$131="F/N", 1, IF($G$4:$G$131="F/N^", 1, 0)))*--($D$4:$D$131="S"),$H$4:$H$131)</f>
        <v>40.549241258765015</v>
      </c>
      <c r="AD40" s="599">
        <f t="shared" si="20"/>
        <v>8.1098482517530037</v>
      </c>
      <c r="AE40" s="602" cm="1">
        <f t="array" ref="AE40">SUMPRODUCT(--($F$4:$F$131="240L")*--(IF($G$4:$G$131="F/N", 1, IF($G$4:$G$131="F/N^", 1, 0)))*--($D$4:$D$131="R")*--($H$4:$H$131&gt;0))</f>
        <v>6</v>
      </c>
      <c r="AF40" s="603" cm="1">
        <f t="array" ref="AF40">SUMPRODUCT(--($F$4:$F$131="240L")*--(IF($G$4:$G$131="F/N", 1, IF($G$4:$G$131="F/N^", 1, 0)))*--($D$4:$D$131="R"),$H$4:$H$131)</f>
        <v>43.014434154331283</v>
      </c>
      <c r="AG40" s="599">
        <f>AF40/AE40</f>
        <v>7.1690723590552139</v>
      </c>
      <c r="AH40" s="602" cm="1">
        <f t="array" ref="AH40">SUMPRODUCT(--($F$4:$F$131="240L")*--(IF($G$4:$G$131="F/N", 1, IF($G$4:$G$131="F/N^", 1, 0)))*--($D$4:$D$131="N")*--($H$4:$H$131&gt;0))</f>
        <v>5</v>
      </c>
      <c r="AI40" s="603" cm="1">
        <f t="array" ref="AI40">SUMPRODUCT(--($F$4:$F$131="240L")*--(IF($G$4:$G$131="F/N", 1, IF($G$4:$G$131="F/N^", 1, 0)))*--($D$4:$D$131="N"),$H$4:$H$131)</f>
        <v>51.442526664616693</v>
      </c>
      <c r="AJ40" s="599">
        <f>AI40/AH40</f>
        <v>10.288505332923339</v>
      </c>
      <c r="AK40" s="602" cm="1">
        <f t="array" ref="AK40">SUMPRODUCT(--($F$4:$F$131="240L")*--(IF($G$4:$G$131="F/N", 1, IF($G$4:$G$131="F/N^", 1, 0))))</f>
        <v>16</v>
      </c>
      <c r="AL40" s="603" cm="1">
        <f t="array" ref="AL40">SUMPRODUCT(--($F$4:$F$131="240L")*--(IF($G$4:$G$131="F/N", 1, IF($G$4:$G$131="F/N^", 1, 0)))*--($H$4:$H$131))</f>
        <v>135.006202077713</v>
      </c>
      <c r="AM40" s="599">
        <f t="shared" si="27"/>
        <v>8.4378876298570624</v>
      </c>
      <c r="AN40" s="582"/>
      <c r="AO40" s="599" t="str">
        <f t="shared" si="14"/>
        <v>240L Split (W/R)</v>
      </c>
      <c r="AP40" s="599" t="str">
        <f t="shared" si="15"/>
        <v>Fortnightly</v>
      </c>
      <c r="AQ40" s="599" t="e">
        <f t="shared" si="24"/>
        <v>#DIV/0!</v>
      </c>
      <c r="AR40" s="600">
        <f t="shared" si="25"/>
        <v>0</v>
      </c>
      <c r="AS40" s="586"/>
      <c r="BH40" s="119"/>
      <c r="BI40" s="119"/>
      <c r="BJ40" s="119"/>
    </row>
    <row r="41" spans="1:62" x14ac:dyDescent="0.25">
      <c r="A41" s="8">
        <v>12700</v>
      </c>
      <c r="B41" s="8" t="s">
        <v>101</v>
      </c>
      <c r="C41" s="8" t="s">
        <v>23</v>
      </c>
      <c r="D41" s="29" t="s">
        <v>3</v>
      </c>
      <c r="E41" s="291"/>
      <c r="F41" s="292" t="s">
        <v>288</v>
      </c>
      <c r="G41" s="293" t="s">
        <v>289</v>
      </c>
      <c r="H41" s="294">
        <f>'App 7 - HH &amp; Capita'!G42</f>
        <v>12.091143323564697</v>
      </c>
      <c r="I41" s="291"/>
      <c r="J41" s="295" t="s">
        <v>288</v>
      </c>
      <c r="K41" s="296" t="s">
        <v>287</v>
      </c>
      <c r="L41" s="297">
        <f>'App 7 - HH &amp; Capita'!L42</f>
        <v>3.2480392933534028</v>
      </c>
      <c r="M41" s="291"/>
      <c r="N41" s="298"/>
      <c r="O41" s="298"/>
      <c r="P41" s="299"/>
      <c r="Q41" s="300"/>
      <c r="R41" s="300"/>
      <c r="S41" s="301"/>
      <c r="T41" s="291"/>
      <c r="U41" s="302">
        <f t="shared" si="0"/>
        <v>15.3391826169181</v>
      </c>
      <c r="V41" s="138">
        <f t="shared" si="1"/>
        <v>2</v>
      </c>
      <c r="W41" s="303">
        <f>'App 3 - Recycling Rate'!S42</f>
        <v>0.43032285566016754</v>
      </c>
      <c r="Y41" s="376" t="str">
        <f t="shared" si="26"/>
        <v>240L Split (W/R)IFortnightly</v>
      </c>
      <c r="Z41" s="599" t="s">
        <v>413</v>
      </c>
      <c r="AA41" s="599" t="s">
        <v>414</v>
      </c>
      <c r="AB41" s="602" cm="1">
        <f t="array" ref="AB41">SUMPRODUCT(--($F$4:$F$131="240Split")*--($G$4:$G$131="F/N")*--($D$4:$D$131="S")*--($H$4:$H$131&gt;0))</f>
        <v>0</v>
      </c>
      <c r="AC41" s="603" cm="1">
        <f t="array" ref="AC41">SUMPRODUCT(--($F$4:$F$131="240Split")*--(IF($G$4:$G$131="F/N", 1, IF($G$4:$G$131="F/N^", 1, 0)))*--($D$4:$D$131="S"),$H$4:$H$131)</f>
        <v>0</v>
      </c>
      <c r="AD41" s="599" t="s">
        <v>419</v>
      </c>
      <c r="AE41" s="602" cm="1">
        <f t="array" ref="AE41">SUMPRODUCT(--($F$4:$F$131="240Split")*--($G$4:$G$131="F/N")*--($D$4:$D$131="R")*--($H$4:$H$131&gt;0))</f>
        <v>0</v>
      </c>
      <c r="AF41" s="603" cm="1">
        <f t="array" ref="AF41">SUMPRODUCT(--($F$4:$F$131="240Split")*--(IF($G$4:$G$131="F/N", 1, IF($G$4:$G$131="F/N^", 1, 0)))*--($D$4:$D$131="R"),$H$4:$H$131)</f>
        <v>0</v>
      </c>
      <c r="AG41" s="599" t="s">
        <v>419</v>
      </c>
      <c r="AH41" s="602" cm="1">
        <f t="array" ref="AH41">SUMPRODUCT(--($F$4:$F$131="240Split")*--($G$4:$G$131="F/N")*--($D$4:$D$131="N")*--($H$4:$H$131&gt;0))</f>
        <v>0</v>
      </c>
      <c r="AI41" s="603" cm="1">
        <f t="array" ref="AI41">SUMPRODUCT(--($F$4:$F$131="240Split")*--(IF($G$4:$G$131="F/N", 1, IF($G$4:$G$131="F/N^", 1, 0)))*--($D$4:$D$131="N"),$H$4:$H$131)</f>
        <v>0</v>
      </c>
      <c r="AJ41" s="599"/>
      <c r="AK41" s="602" cm="1">
        <f t="array" ref="AK41">SUMPRODUCT(--($F$4:$F$131="240Split")*--(IF($G$4:$G$131="F/N", 1, IF($G$4:$G$131="F/N^", 1, 0))))</f>
        <v>0</v>
      </c>
      <c r="AL41" s="603" cm="1">
        <f t="array" ref="AL41">SUMPRODUCT(--($F$4:$F$131="240Split")*--(IF($G$4:$G$131="F/N", 1, IF($G$4:$G$131="F/N^", 1, 0)))*--($H$4:$H$131))</f>
        <v>0</v>
      </c>
      <c r="AM41" s="599" t="e">
        <f t="shared" si="27"/>
        <v>#DIV/0!</v>
      </c>
      <c r="AN41" s="582"/>
      <c r="AO41" s="599" t="str">
        <f t="shared" si="14"/>
        <v>360L</v>
      </c>
      <c r="AP41" s="599" t="str">
        <f t="shared" si="15"/>
        <v>Fortnightly</v>
      </c>
      <c r="AQ41" s="599" t="e">
        <f t="shared" si="24"/>
        <v>#DIV/0!</v>
      </c>
      <c r="AR41" s="600">
        <f t="shared" si="25"/>
        <v>0</v>
      </c>
      <c r="AS41" s="586"/>
      <c r="BH41" s="119"/>
      <c r="BI41" s="119"/>
      <c r="BJ41" s="119"/>
    </row>
    <row r="42" spans="1:62" x14ac:dyDescent="0.25">
      <c r="A42" s="8">
        <v>12730</v>
      </c>
      <c r="B42" s="8" t="s">
        <v>102</v>
      </c>
      <c r="C42" s="8" t="s">
        <v>66</v>
      </c>
      <c r="D42" s="29" t="s">
        <v>1</v>
      </c>
      <c r="E42" s="291"/>
      <c r="F42" s="292" t="s">
        <v>288</v>
      </c>
      <c r="G42" s="293" t="s">
        <v>289</v>
      </c>
      <c r="H42" s="294">
        <f>'App 7 - HH &amp; Capita'!G43</f>
        <v>14.544322149843785</v>
      </c>
      <c r="I42" s="291"/>
      <c r="J42" s="295"/>
      <c r="K42" s="296"/>
      <c r="L42" s="297"/>
      <c r="M42" s="291"/>
      <c r="N42" s="298"/>
      <c r="O42" s="298"/>
      <c r="P42" s="299"/>
      <c r="Q42" s="300"/>
      <c r="R42" s="300"/>
      <c r="S42" s="301"/>
      <c r="T42" s="291"/>
      <c r="U42" s="302">
        <f t="shared" si="0"/>
        <v>14.544322149843785</v>
      </c>
      <c r="V42" s="138">
        <f t="shared" si="1"/>
        <v>1</v>
      </c>
      <c r="W42" s="303">
        <f>'App 3 - Recycling Rate'!S43</f>
        <v>0.1977655625731731</v>
      </c>
      <c r="Y42" s="376" t="str">
        <f t="shared" si="26"/>
        <v>360LIFortnightly</v>
      </c>
      <c r="Z42" s="599" t="s">
        <v>291</v>
      </c>
      <c r="AA42" s="599" t="s">
        <v>414</v>
      </c>
      <c r="AB42" s="602" cm="1">
        <f t="array" ref="AB42">SUMPRODUCT(--($F$4:$F$131="360L")*--(IF($G$4:$G$131="F/N", 1, IF($G$4:$G$131="F/N^", 1, 0)))*--($D$4:$D$131="S")*--($H$4:$H$131&gt;0))</f>
        <v>0</v>
      </c>
      <c r="AC42" s="603" cm="1">
        <f t="array" ref="AC42">SUMPRODUCT(--($F$4:$F$131="360L")*--(IF($G$4:$G$131="F/N", 1, IF($G$4:$G$131="F/N^", 1, 0)))*--($D$4:$D$131="S"),$H$4:$H$131)</f>
        <v>0</v>
      </c>
      <c r="AD42" s="599" t="s">
        <v>419</v>
      </c>
      <c r="AE42" s="602" cm="1">
        <f t="array" ref="AE42">SUMPRODUCT(--($F$4:$F$131="360L")*--(IF($G$4:$G$131="F/N", 1, IF($G$4:$G$131="F/N^", 1, 0)))*--($D$4:$D$131="R")*--($H$4:$H$131&gt;0))</f>
        <v>0</v>
      </c>
      <c r="AF42" s="603" cm="1">
        <f t="array" ref="AF42">SUMPRODUCT(--($F$4:$F$131="360L")*--(IF($G$4:$G$131="F/N", 1, IF($G$4:$G$131="F/N^", 1, 0)))*--($D$4:$D$131="R"),$H$4:$H$131)</f>
        <v>0</v>
      </c>
      <c r="AG42" s="599"/>
      <c r="AH42" s="602" cm="1">
        <f t="array" ref="AH42">SUMPRODUCT(--($F$4:$F$131="360L")*--(IF($G$4:$G$131="F/N", 1, IF($G$4:$G$131="F/N^", 1, 0)))*--($D$4:$D$131="N")*--($H$4:$H$131&gt;0))</f>
        <v>0</v>
      </c>
      <c r="AI42" s="603" cm="1">
        <f t="array" ref="AI42">SUMPRODUCT(--($F$4:$F$131="360L")*--(IF($G$4:$G$131="F/N", 1, IF($G$4:$G$131="F/N^", 1, 0)))*--($D$4:$D$131="N"),$H$4:$H$131)</f>
        <v>0</v>
      </c>
      <c r="AJ42" s="599"/>
      <c r="AK42" s="602" cm="1">
        <f t="array" ref="AK42">SUMPRODUCT(--($F$4:$F$131="360L")*--(IF($G$4:$G$131="F/N", 1, IF($G$4:$G$131="F/N^", 1, 0))))</f>
        <v>0</v>
      </c>
      <c r="AL42" s="603" cm="1">
        <f t="array" ref="AL42">SUMPRODUCT(--($F$4:$F$131="360L")*--(IF($G$4:$G$131="F/N", 1, IF($G$4:$G$131="F/N^", 1, 0)))*--($H$4:$H$131))</f>
        <v>0</v>
      </c>
      <c r="AM42" s="599" t="e">
        <f t="shared" si="27"/>
        <v>#DIV/0!</v>
      </c>
      <c r="AN42" s="582"/>
      <c r="AO42" s="599" t="str">
        <f t="shared" si="14"/>
        <v>660L</v>
      </c>
      <c r="AP42" s="599" t="str">
        <f t="shared" si="15"/>
        <v>Fortnightly</v>
      </c>
      <c r="AQ42" s="599">
        <f t="shared" si="24"/>
        <v>8.5883297866376118</v>
      </c>
      <c r="AR42" s="600">
        <f t="shared" si="25"/>
        <v>1</v>
      </c>
      <c r="AS42" s="586"/>
      <c r="BH42" s="119"/>
      <c r="BI42" s="119"/>
      <c r="BJ42" s="119"/>
    </row>
    <row r="43" spans="1:62" x14ac:dyDescent="0.25">
      <c r="A43" s="8">
        <v>12750</v>
      </c>
      <c r="B43" s="8" t="s">
        <v>103</v>
      </c>
      <c r="C43" s="8" t="s">
        <v>67</v>
      </c>
      <c r="D43" s="29" t="s">
        <v>1</v>
      </c>
      <c r="E43" s="291"/>
      <c r="F43" s="292" t="s">
        <v>288</v>
      </c>
      <c r="G43" s="293" t="s">
        <v>289</v>
      </c>
      <c r="H43" s="294">
        <f>'App 7 - HH &amp; Capita'!G44</f>
        <v>5.612344343929494</v>
      </c>
      <c r="I43" s="291"/>
      <c r="J43" s="295" t="s">
        <v>288</v>
      </c>
      <c r="K43" s="296" t="s">
        <v>287</v>
      </c>
      <c r="L43" s="297">
        <f>'App 7 - HH &amp; Capita'!L44</f>
        <v>3.8448626969002615</v>
      </c>
      <c r="M43" s="291"/>
      <c r="N43" s="298" t="s">
        <v>288</v>
      </c>
      <c r="O43" s="298" t="s">
        <v>287</v>
      </c>
      <c r="P43" s="299">
        <v>5.6131377447124997</v>
      </c>
      <c r="Q43" s="300"/>
      <c r="R43" s="300"/>
      <c r="S43" s="301"/>
      <c r="T43" s="291"/>
      <c r="U43" s="302">
        <f t="shared" si="0"/>
        <v>15.070344785542256</v>
      </c>
      <c r="V43" s="138">
        <f t="shared" si="1"/>
        <v>3</v>
      </c>
      <c r="W43" s="303">
        <f>'App 3 - Recycling Rate'!S44</f>
        <v>0.52908339845930552</v>
      </c>
      <c r="Y43" s="376" t="str">
        <f t="shared" si="26"/>
        <v>660LIFortnightly</v>
      </c>
      <c r="Z43" s="599" t="s">
        <v>417</v>
      </c>
      <c r="AA43" s="599" t="s">
        <v>414</v>
      </c>
      <c r="AB43" s="602" cm="1">
        <f t="array" ref="AB43">SUMPRODUCT(--($F$4:$F$131="660L")*--(IF($G$4:$G$131="F/N", 1, IF($G$4:$G$131="F/N^", 1, 0)))*--($D$4:$D$131="S")*--($H$4:$H$131&gt;0))</f>
        <v>0</v>
      </c>
      <c r="AC43" s="603" cm="1">
        <f t="array" ref="AC43">SUMPRODUCT(--($F$4:$F$131="660L")*--(IF($G$4:$G$131="F/N", 1, IF($G$4:$G$131="F/N^", 1, 0)))*--($D$4:$D$131="S"),$H$4:$H$131)</f>
        <v>0</v>
      </c>
      <c r="AD43" s="599" t="s">
        <v>419</v>
      </c>
      <c r="AE43" s="602" cm="1">
        <f t="array" ref="AE43">SUMPRODUCT(--($F$4:$F$131="660L")*--(IF($G$4:$G$131="F/N", 1, IF($G$4:$G$131="F/N^", 1, 0)))*--($D$4:$D$131="R")*--($H$4:$H$131&gt;0))</f>
        <v>1</v>
      </c>
      <c r="AF43" s="603" cm="1">
        <f t="array" ref="AF43">SUMPRODUCT(--($F$4:$F$131="660L")*--(IF($G$4:$G$131="F/N", 1, IF($G$4:$G$131="F/N^", 1, 0)))*--($D$4:$D$131="R"),$H$4:$H$131)</f>
        <v>8.5883297866376118</v>
      </c>
      <c r="AG43" s="599"/>
      <c r="AH43" s="602" cm="1">
        <f t="array" ref="AH43">SUMPRODUCT(--($F$4:$F$131="660L")*--(IF($G$4:$G$131="F/N", 1, IF($G$4:$G$131="F/N^", 1, 0)))*--($D$4:$D$131="N")*--($H$4:$H$131&gt;0))</f>
        <v>0</v>
      </c>
      <c r="AI43" s="603" cm="1">
        <f t="array" ref="AI43">SUMPRODUCT(--($F$4:$F$131="660L")*--(IF($G$4:$G$131="F/N", 1, IF($G$4:$G$131="F/N^", 1, 0)))*--($D$4:$D$131="N"),$H$4:$H$131)</f>
        <v>0</v>
      </c>
      <c r="AJ43" s="599"/>
      <c r="AK43" s="602" cm="1">
        <f t="array" ref="AK43">SUMPRODUCT(--($F$4:$F$131="660L")*--(IF($G$4:$G$131="F/N", 1, IF($G$4:$G$131="F/N^", 1, 0))))</f>
        <v>1</v>
      </c>
      <c r="AL43" s="603" cm="1">
        <f t="array" ref="AL43">SUMPRODUCT(--($F$4:$F$131="660L")*--(IF($G$4:$G$131="F/N", 1, IF($G$4:$G$131="F/N^", 1, 0)))*--($H$4:$H$131))</f>
        <v>8.5883297866376118</v>
      </c>
      <c r="AM43" s="599">
        <f t="shared" si="27"/>
        <v>8.5883297866376118</v>
      </c>
      <c r="AN43" s="582"/>
      <c r="AO43" s="582"/>
      <c r="AP43" s="582"/>
      <c r="AQ43" s="582"/>
      <c r="AR43" s="582"/>
      <c r="AS43" s="586"/>
      <c r="BH43" s="119"/>
      <c r="BI43" s="119"/>
      <c r="BJ43" s="119"/>
    </row>
    <row r="44" spans="1:62" x14ac:dyDescent="0.25">
      <c r="A44" s="8">
        <v>12850</v>
      </c>
      <c r="B44" s="8" t="s">
        <v>104</v>
      </c>
      <c r="C44" s="8" t="s">
        <v>18</v>
      </c>
      <c r="D44" s="29" t="s">
        <v>2</v>
      </c>
      <c r="E44" s="291"/>
      <c r="F44" s="292" t="s">
        <v>288</v>
      </c>
      <c r="G44" s="293" t="s">
        <v>289</v>
      </c>
      <c r="H44" s="294">
        <f>'App 7 - HH &amp; Capita'!G45</f>
        <v>21.516000433046546</v>
      </c>
      <c r="I44" s="291"/>
      <c r="J44" s="295" t="s">
        <v>288</v>
      </c>
      <c r="K44" s="296" t="s">
        <v>287</v>
      </c>
      <c r="L44" s="297">
        <f>'App 7 - HH &amp; Capita'!L45</f>
        <v>3.1229087991237177</v>
      </c>
      <c r="M44" s="291"/>
      <c r="N44" s="298"/>
      <c r="O44" s="298"/>
      <c r="P44" s="299"/>
      <c r="Q44" s="300"/>
      <c r="R44" s="300"/>
      <c r="S44" s="301"/>
      <c r="T44" s="291"/>
      <c r="U44" s="302">
        <f t="shared" si="0"/>
        <v>24.638909232170263</v>
      </c>
      <c r="V44" s="138">
        <f t="shared" si="1"/>
        <v>2</v>
      </c>
      <c r="W44" s="303">
        <f>'App 3 - Recycling Rate'!S45</f>
        <v>0.1606793243591777</v>
      </c>
      <c r="Z44" s="599" t="s">
        <v>418</v>
      </c>
      <c r="AA44" s="599"/>
      <c r="AB44" s="602" cm="1">
        <f t="array" ref="AB44">SUMPRODUCT(--($F$4:$F$131="")*--($G$4:$G$131="")*--($D$4:$D$131="S")*--($H$4:$H$131&gt;0))</f>
        <v>0</v>
      </c>
      <c r="AC44" s="603" cm="1">
        <f t="array" ref="AC44">SUMPRODUCT(--($F$4:$F$131="")*--($G$4:$G$131="")*--($D$4:$D$131="S"),$H$4:$H$131)</f>
        <v>0</v>
      </c>
      <c r="AD44" s="599" t="s">
        <v>419</v>
      </c>
      <c r="AE44" s="602" cm="1">
        <f t="array" ref="AE44">SUMPRODUCT(--($F$4:$F$131="")*--($G$4:$G$131="")*--($D$4:$D$131="R")*--($H$4:$H$131&gt;0))</f>
        <v>0</v>
      </c>
      <c r="AF44" s="603" cm="1">
        <f t="array" ref="AF44">SUMPRODUCT(--($F$4:$F$131="")*--($G$4:$G$131="")*--($D$4:$D$131="R"),$H$4:$H$131)</f>
        <v>0</v>
      </c>
      <c r="AG44" s="599" t="s">
        <v>419</v>
      </c>
      <c r="AH44" s="602" cm="1">
        <f t="array" ref="AH44">SUMPRODUCT(--($F$4:$F$131="")*--($G$4:$G$131="")*--($D$4:$D$131="N")*--($H$4:$H$131&gt;0))</f>
        <v>0</v>
      </c>
      <c r="AI44" s="603" cm="1">
        <f t="array" ref="AI44">SUMPRODUCT(--($F$4:$F$131="")*--($G$4:$G$131="")*--($D$4:$D$131="N"),$H$4:$H$131)</f>
        <v>0</v>
      </c>
      <c r="AJ44" s="599" t="s">
        <v>419</v>
      </c>
      <c r="AK44" s="602" cm="1">
        <f t="array" ref="AK44">SUMPRODUCT(--($F$4:$F$131="")*--(IF($G$4:$G$131="F/N", 1, IF($G$4:$G$131="F/N^", 1, 0))))</f>
        <v>0</v>
      </c>
      <c r="AL44" s="603" t="s">
        <v>419</v>
      </c>
      <c r="AM44" s="599" t="s">
        <v>419</v>
      </c>
      <c r="AS44" s="586"/>
      <c r="BH44" s="119"/>
      <c r="BI44" s="119"/>
      <c r="BJ44" s="119"/>
    </row>
    <row r="45" spans="1:62" x14ac:dyDescent="0.25">
      <c r="A45" s="8">
        <v>12870</v>
      </c>
      <c r="B45" s="8" t="s">
        <v>105</v>
      </c>
      <c r="C45" s="8" t="s">
        <v>66</v>
      </c>
      <c r="D45" s="29" t="s">
        <v>1</v>
      </c>
      <c r="E45" s="291"/>
      <c r="F45" s="292" t="s">
        <v>288</v>
      </c>
      <c r="G45" s="293" t="s">
        <v>287</v>
      </c>
      <c r="H45" s="294">
        <f>'App 7 - HH &amp; Capita'!G46</f>
        <v>6.0934520025429117</v>
      </c>
      <c r="I45" s="291"/>
      <c r="J45" s="295" t="s">
        <v>288</v>
      </c>
      <c r="K45" s="296" t="s">
        <v>287</v>
      </c>
      <c r="L45" s="297">
        <f>'App 7 - HH &amp; Capita'!L46</f>
        <v>3.8713722924249243</v>
      </c>
      <c r="M45" s="291"/>
      <c r="N45" s="298"/>
      <c r="O45" s="298"/>
      <c r="P45" s="299"/>
      <c r="Q45" s="300" t="s">
        <v>288</v>
      </c>
      <c r="R45" s="300" t="s">
        <v>287</v>
      </c>
      <c r="S45" s="301">
        <v>11.649145766227999</v>
      </c>
      <c r="T45" s="291"/>
      <c r="U45" s="302">
        <f t="shared" si="0"/>
        <v>21.613970061195836</v>
      </c>
      <c r="V45" s="138">
        <f t="shared" si="1"/>
        <v>4</v>
      </c>
      <c r="W45" s="303">
        <f>'App 3 - Recycling Rate'!S46</f>
        <v>0.7486290646168855</v>
      </c>
      <c r="AB45" s="593"/>
      <c r="AE45" s="593"/>
      <c r="AH45" s="593"/>
      <c r="AK45" s="593"/>
      <c r="AQ45" s="594"/>
      <c r="AR45" s="592">
        <f>SUM(AR30:AR43)</f>
        <v>120</v>
      </c>
      <c r="AS45" s="586"/>
      <c r="BH45" s="119"/>
      <c r="BI45" s="119"/>
      <c r="BJ45" s="119"/>
    </row>
    <row r="46" spans="1:62" x14ac:dyDescent="0.25">
      <c r="A46" s="8">
        <v>12900</v>
      </c>
      <c r="B46" s="8" t="s">
        <v>106</v>
      </c>
      <c r="C46" s="8" t="s">
        <v>38</v>
      </c>
      <c r="D46" s="29" t="s">
        <v>1</v>
      </c>
      <c r="E46" s="291"/>
      <c r="F46" s="292" t="s">
        <v>288</v>
      </c>
      <c r="G46" s="293" t="s">
        <v>287</v>
      </c>
      <c r="H46" s="294">
        <f>'App 7 - HH &amp; Capita'!G47</f>
        <v>12.88484698761696</v>
      </c>
      <c r="I46" s="291"/>
      <c r="J46" s="295" t="s">
        <v>288</v>
      </c>
      <c r="K46" s="296" t="s">
        <v>287</v>
      </c>
      <c r="L46" s="297">
        <f>'App 7 - HH &amp; Capita'!L47</f>
        <v>2.0037335389485218</v>
      </c>
      <c r="M46" s="291"/>
      <c r="N46" s="298"/>
      <c r="O46" s="298"/>
      <c r="P46" s="299"/>
      <c r="Q46" s="300" t="s">
        <v>288</v>
      </c>
      <c r="R46" s="300" t="s">
        <v>289</v>
      </c>
      <c r="S46" s="301">
        <v>6.8625225184651004</v>
      </c>
      <c r="T46" s="291"/>
      <c r="U46" s="302">
        <f t="shared" si="0"/>
        <v>21.751103045030582</v>
      </c>
      <c r="V46" s="138">
        <f t="shared" si="1"/>
        <v>4</v>
      </c>
      <c r="W46" s="303">
        <f>'App 3 - Recycling Rate'!S47</f>
        <v>0.25791795089807634</v>
      </c>
      <c r="Z46" s="595" t="s">
        <v>0</v>
      </c>
      <c r="AB46" s="596">
        <f>SUM(AB31:AB44)</f>
        <v>41</v>
      </c>
      <c r="AC46" s="597"/>
      <c r="AD46" s="597"/>
      <c r="AE46" s="596">
        <f>SUM(AE31:AE44)</f>
        <v>17</v>
      </c>
      <c r="AF46" s="597"/>
      <c r="AG46" s="597"/>
      <c r="AH46" s="596">
        <f>SUM(AH31:AH44)</f>
        <v>61</v>
      </c>
      <c r="AI46" s="597"/>
      <c r="AJ46" s="597"/>
      <c r="AK46" s="596">
        <f>SUM(AK31:AK43)+AK44</f>
        <v>120</v>
      </c>
      <c r="AL46" s="597"/>
      <c r="AM46" s="597"/>
      <c r="AR46" s="592"/>
      <c r="AS46" s="586"/>
      <c r="BH46" s="119"/>
      <c r="BI46" s="119"/>
      <c r="BJ46" s="119"/>
    </row>
    <row r="47" spans="1:62" x14ac:dyDescent="0.25">
      <c r="A47" s="8">
        <v>12930</v>
      </c>
      <c r="B47" s="8" t="s">
        <v>48</v>
      </c>
      <c r="C47" s="8" t="s">
        <v>17</v>
      </c>
      <c r="D47" s="29" t="s">
        <v>2</v>
      </c>
      <c r="E47" s="291"/>
      <c r="F47" s="292" t="s">
        <v>288</v>
      </c>
      <c r="G47" s="293" t="s">
        <v>473</v>
      </c>
      <c r="H47" s="294">
        <f>'App 7 - HH &amp; Capita'!G48</f>
        <v>16.084094784062504</v>
      </c>
      <c r="I47" s="291"/>
      <c r="J47" s="295" t="s">
        <v>288</v>
      </c>
      <c r="K47" s="296" t="s">
        <v>287</v>
      </c>
      <c r="L47" s="297">
        <f>'App 7 - HH &amp; Capita'!L48</f>
        <v>3.9734465125029876</v>
      </c>
      <c r="M47" s="291"/>
      <c r="N47" s="298" t="s">
        <v>288</v>
      </c>
      <c r="O47" s="298" t="s">
        <v>287</v>
      </c>
      <c r="P47" s="299">
        <v>6.6321181218474363</v>
      </c>
      <c r="Q47" s="300"/>
      <c r="R47" s="300"/>
      <c r="S47" s="301"/>
      <c r="T47" s="291"/>
      <c r="U47" s="302">
        <f t="shared" si="0"/>
        <v>26.68965941841293</v>
      </c>
      <c r="V47" s="138">
        <f t="shared" si="1"/>
        <v>3</v>
      </c>
      <c r="W47" s="303">
        <f>'App 3 - Recycling Rate'!S48</f>
        <v>0.57658304669027005</v>
      </c>
      <c r="AN47" s="598"/>
      <c r="AU47" s="592"/>
      <c r="AV47" s="586"/>
    </row>
    <row r="48" spans="1:62" x14ac:dyDescent="0.25">
      <c r="A48" s="8">
        <v>12950</v>
      </c>
      <c r="B48" s="8" t="s">
        <v>107</v>
      </c>
      <c r="C48" s="8" t="s">
        <v>38</v>
      </c>
      <c r="D48" s="29" t="s">
        <v>1</v>
      </c>
      <c r="E48" s="291"/>
      <c r="F48" s="292" t="s">
        <v>288</v>
      </c>
      <c r="G48" s="293" t="s">
        <v>289</v>
      </c>
      <c r="H48" s="294">
        <f>'App 7 - HH &amp; Capita'!G49</f>
        <v>9.4507770186555273</v>
      </c>
      <c r="I48" s="291"/>
      <c r="J48" s="295" t="s">
        <v>288</v>
      </c>
      <c r="K48" s="296" t="s">
        <v>287</v>
      </c>
      <c r="L48" s="297">
        <f>'App 7 - HH &amp; Capita'!L49</f>
        <v>1.2427135858098202</v>
      </c>
      <c r="M48" s="291"/>
      <c r="N48" s="298"/>
      <c r="O48" s="298"/>
      <c r="P48" s="299"/>
      <c r="Q48" s="300"/>
      <c r="R48" s="300"/>
      <c r="S48" s="301"/>
      <c r="T48" s="291"/>
      <c r="U48" s="302">
        <f t="shared" si="0"/>
        <v>10.693490604465348</v>
      </c>
      <c r="V48" s="138">
        <f t="shared" si="1"/>
        <v>2</v>
      </c>
      <c r="W48" s="303">
        <f>'App 3 - Recycling Rate'!S49</f>
        <v>0.18622813771862279</v>
      </c>
      <c r="AN48" s="598"/>
      <c r="AU48" s="592"/>
      <c r="AV48" s="586"/>
    </row>
    <row r="49" spans="1:62" x14ac:dyDescent="0.25">
      <c r="A49" s="8">
        <v>13010</v>
      </c>
      <c r="B49" s="8" t="s">
        <v>108</v>
      </c>
      <c r="C49" s="8" t="s">
        <v>16</v>
      </c>
      <c r="D49" s="29" t="s">
        <v>1</v>
      </c>
      <c r="E49" s="291"/>
      <c r="F49" s="292" t="s">
        <v>286</v>
      </c>
      <c r="G49" s="293" t="s">
        <v>289</v>
      </c>
      <c r="H49" s="294">
        <f>'App 7 - HH &amp; Capita'!G50</f>
        <v>8.2450999704520829</v>
      </c>
      <c r="I49" s="291"/>
      <c r="J49" s="295" t="s">
        <v>288</v>
      </c>
      <c r="K49" s="296" t="s">
        <v>287</v>
      </c>
      <c r="L49" s="297">
        <f>'App 7 - HH &amp; Capita'!L50</f>
        <v>2.1733970255097015</v>
      </c>
      <c r="M49" s="291"/>
      <c r="N49" s="298"/>
      <c r="O49" s="298"/>
      <c r="P49" s="299"/>
      <c r="Q49" s="300"/>
      <c r="R49" s="300"/>
      <c r="S49" s="301"/>
      <c r="T49" s="291"/>
      <c r="U49" s="302">
        <f t="shared" si="0"/>
        <v>10.418496995961785</v>
      </c>
      <c r="V49" s="138">
        <f t="shared" si="1"/>
        <v>2</v>
      </c>
      <c r="W49" s="303">
        <f>'App 3 - Recycling Rate'!S50</f>
        <v>0.61652737147288483</v>
      </c>
      <c r="Z49" s="782" t="s">
        <v>425</v>
      </c>
      <c r="AA49" s="782"/>
      <c r="AB49" s="782"/>
      <c r="AC49" s="782"/>
      <c r="AD49" s="782"/>
      <c r="AE49" s="782"/>
      <c r="AF49" s="782"/>
      <c r="AG49" s="782"/>
      <c r="AH49" s="782"/>
      <c r="AI49" s="782"/>
      <c r="AJ49" s="782"/>
      <c r="AK49" s="782"/>
      <c r="AL49" s="782"/>
      <c r="AM49" s="782"/>
      <c r="AN49" s="782"/>
      <c r="AO49" s="782"/>
      <c r="AP49" s="782"/>
      <c r="AQ49" s="576"/>
    </row>
    <row r="50" spans="1:62" x14ac:dyDescent="0.25">
      <c r="A50" s="8">
        <v>13310</v>
      </c>
      <c r="B50" s="8" t="s">
        <v>109</v>
      </c>
      <c r="C50" s="8" t="s">
        <v>67</v>
      </c>
      <c r="D50" s="29" t="s">
        <v>1</v>
      </c>
      <c r="E50" s="291"/>
      <c r="F50" s="292" t="s">
        <v>286</v>
      </c>
      <c r="G50" s="293" t="s">
        <v>289</v>
      </c>
      <c r="H50" s="294">
        <f>'App 7 - HH &amp; Capita'!G51</f>
        <v>9.688312936282955</v>
      </c>
      <c r="I50" s="291"/>
      <c r="J50" s="295" t="s">
        <v>288</v>
      </c>
      <c r="K50" s="296" t="s">
        <v>287</v>
      </c>
      <c r="L50" s="297">
        <f>'App 7 - HH &amp; Capita'!L51</f>
        <v>2.4226910843010674</v>
      </c>
      <c r="M50" s="291"/>
      <c r="N50" s="298"/>
      <c r="O50" s="298"/>
      <c r="P50" s="299"/>
      <c r="Q50" s="300" t="s">
        <v>288</v>
      </c>
      <c r="R50" s="300" t="s">
        <v>287</v>
      </c>
      <c r="S50" s="301">
        <v>5.5693736138433971</v>
      </c>
      <c r="T50" s="291"/>
      <c r="U50" s="302">
        <f t="shared" si="0"/>
        <v>17.680377634427419</v>
      </c>
      <c r="V50" s="138">
        <f t="shared" si="1"/>
        <v>4</v>
      </c>
      <c r="W50" s="303">
        <f>'App 3 - Recycling Rate'!S51</f>
        <v>0.41979025127906999</v>
      </c>
      <c r="Z50" s="576"/>
      <c r="AA50" s="576"/>
      <c r="AB50" s="783" t="s">
        <v>458</v>
      </c>
      <c r="AC50" s="783"/>
      <c r="AD50" s="783"/>
      <c r="AE50" s="783" t="s">
        <v>460</v>
      </c>
      <c r="AF50" s="783"/>
      <c r="AG50" s="783"/>
      <c r="AH50" s="783" t="s">
        <v>463</v>
      </c>
      <c r="AI50" s="783"/>
      <c r="AJ50" s="783"/>
      <c r="AK50" s="783" t="s">
        <v>7</v>
      </c>
      <c r="AL50" s="783"/>
      <c r="AM50" s="783"/>
      <c r="AO50" s="781" t="s">
        <v>424</v>
      </c>
      <c r="AP50" s="781"/>
      <c r="AQ50" s="781"/>
      <c r="AR50" s="394"/>
      <c r="BH50" s="119"/>
      <c r="BI50" s="119"/>
      <c r="BJ50" s="119"/>
    </row>
    <row r="51" spans="1:62" x14ac:dyDescent="0.25">
      <c r="A51" s="8">
        <v>13340</v>
      </c>
      <c r="B51" s="8" t="s">
        <v>110</v>
      </c>
      <c r="C51" s="8" t="s">
        <v>21</v>
      </c>
      <c r="D51" s="29" t="s">
        <v>1</v>
      </c>
      <c r="E51" s="291"/>
      <c r="F51" s="292" t="s">
        <v>288</v>
      </c>
      <c r="G51" s="293" t="s">
        <v>289</v>
      </c>
      <c r="H51" s="294">
        <f>'App 7 - HH &amp; Capita'!G52</f>
        <v>14.485363988226295</v>
      </c>
      <c r="I51" s="291"/>
      <c r="J51" s="295" t="s">
        <v>288</v>
      </c>
      <c r="K51" s="296" t="s">
        <v>287</v>
      </c>
      <c r="L51" s="297">
        <f>'App 7 - HH &amp; Capita'!L52</f>
        <v>3.0766913110992653</v>
      </c>
      <c r="M51" s="291"/>
      <c r="N51" s="298"/>
      <c r="O51" s="298"/>
      <c r="P51" s="299"/>
      <c r="Q51" s="300"/>
      <c r="R51" s="300"/>
      <c r="S51" s="301"/>
      <c r="T51" s="291"/>
      <c r="U51" s="302">
        <f t="shared" si="0"/>
        <v>17.562055299325561</v>
      </c>
      <c r="V51" s="138">
        <f t="shared" si="1"/>
        <v>2</v>
      </c>
      <c r="W51" s="303">
        <f>'App 3 - Recycling Rate'!S52</f>
        <v>0.23951606139394449</v>
      </c>
      <c r="Z51" s="607"/>
      <c r="AA51" s="607"/>
      <c r="AB51" s="780" t="s">
        <v>1</v>
      </c>
      <c r="AC51" s="779" t="s">
        <v>412</v>
      </c>
      <c r="AD51" s="779"/>
      <c r="AE51" s="780" t="s">
        <v>1</v>
      </c>
      <c r="AF51" s="779" t="s">
        <v>412</v>
      </c>
      <c r="AG51" s="779"/>
      <c r="AH51" s="780" t="s">
        <v>1</v>
      </c>
      <c r="AI51" s="779" t="s">
        <v>412</v>
      </c>
      <c r="AJ51" s="779"/>
      <c r="AK51" s="780" t="s">
        <v>1</v>
      </c>
      <c r="AL51" s="779" t="s">
        <v>412</v>
      </c>
      <c r="AM51" s="779"/>
      <c r="AO51" s="579" t="s">
        <v>285</v>
      </c>
      <c r="AP51" s="579" t="s">
        <v>280</v>
      </c>
      <c r="AQ51" s="579" t="s">
        <v>282</v>
      </c>
      <c r="AR51" s="580" t="s">
        <v>26</v>
      </c>
      <c r="BH51" s="119"/>
      <c r="BI51" s="119"/>
      <c r="BJ51" s="119"/>
    </row>
    <row r="52" spans="1:62" x14ac:dyDescent="0.25">
      <c r="A52" s="8">
        <v>13450</v>
      </c>
      <c r="B52" s="8" t="s">
        <v>111</v>
      </c>
      <c r="C52" s="8" t="s">
        <v>68</v>
      </c>
      <c r="D52" s="29" t="s">
        <v>1</v>
      </c>
      <c r="E52" s="291"/>
      <c r="F52" s="292" t="s">
        <v>288</v>
      </c>
      <c r="G52" s="293" t="s">
        <v>289</v>
      </c>
      <c r="H52" s="294">
        <f>'App 7 - HH &amp; Capita'!G53</f>
        <v>20.722925506628869</v>
      </c>
      <c r="I52" s="291"/>
      <c r="J52" s="295" t="s">
        <v>288</v>
      </c>
      <c r="K52" s="296" t="s">
        <v>287</v>
      </c>
      <c r="L52" s="297">
        <f>'App 7 - HH &amp; Capita'!L53</f>
        <v>2.4495131785129498</v>
      </c>
      <c r="M52" s="291"/>
      <c r="N52" s="298"/>
      <c r="O52" s="298"/>
      <c r="P52" s="299"/>
      <c r="Q52" s="300"/>
      <c r="R52" s="300"/>
      <c r="S52" s="301"/>
      <c r="T52" s="291"/>
      <c r="U52" s="302">
        <f t="shared" si="0"/>
        <v>23.17243868514182</v>
      </c>
      <c r="V52" s="138">
        <f t="shared" si="1"/>
        <v>2</v>
      </c>
      <c r="W52" s="303">
        <f>'App 3 - Recycling Rate'!S53</f>
        <v>0.15998847392850804</v>
      </c>
      <c r="Z52" s="608" t="s">
        <v>285</v>
      </c>
      <c r="AA52" s="608" t="s">
        <v>280</v>
      </c>
      <c r="AB52" s="780"/>
      <c r="AC52" s="608" t="s">
        <v>376</v>
      </c>
      <c r="AD52" s="608" t="s">
        <v>282</v>
      </c>
      <c r="AE52" s="780"/>
      <c r="AF52" s="608" t="s">
        <v>376</v>
      </c>
      <c r="AG52" s="608" t="s">
        <v>282</v>
      </c>
      <c r="AH52" s="780"/>
      <c r="AI52" s="608" t="s">
        <v>376</v>
      </c>
      <c r="AJ52" s="608" t="s">
        <v>282</v>
      </c>
      <c r="AK52" s="780"/>
      <c r="AL52" s="608" t="s">
        <v>376</v>
      </c>
      <c r="AM52" s="608" t="s">
        <v>282</v>
      </c>
      <c r="AN52" s="582"/>
      <c r="AO52" s="604" t="s">
        <v>291</v>
      </c>
      <c r="AP52" s="604" t="s">
        <v>414</v>
      </c>
      <c r="AQ52" s="605" t="s">
        <v>419</v>
      </c>
      <c r="AR52" s="606">
        <f>AK63</f>
        <v>0</v>
      </c>
      <c r="AS52" s="574" t="str">
        <f>AP52&amp;" "&amp;AO52</f>
        <v>Fortnightly 360L</v>
      </c>
      <c r="AT52" s="639" t="str">
        <f>AQ52</f>
        <v>-</v>
      </c>
      <c r="BH52" s="119"/>
      <c r="BI52" s="119"/>
      <c r="BJ52" s="119"/>
    </row>
    <row r="53" spans="1:62" x14ac:dyDescent="0.25">
      <c r="A53" s="8">
        <v>13550</v>
      </c>
      <c r="B53" s="8" t="s">
        <v>70</v>
      </c>
      <c r="C53" s="8" t="s">
        <v>16</v>
      </c>
      <c r="D53" s="29" t="s">
        <v>1</v>
      </c>
      <c r="E53" s="291"/>
      <c r="F53" s="292" t="s">
        <v>286</v>
      </c>
      <c r="G53" s="293" t="s">
        <v>289</v>
      </c>
      <c r="H53" s="294">
        <f>'App 7 - HH &amp; Capita'!G54</f>
        <v>9.4138851903407375</v>
      </c>
      <c r="I53" s="291"/>
      <c r="J53" s="295" t="s">
        <v>288</v>
      </c>
      <c r="K53" s="296" t="s">
        <v>287</v>
      </c>
      <c r="L53" s="297">
        <f>'App 7 - HH &amp; Capita'!L54</f>
        <v>3.3211220917624464</v>
      </c>
      <c r="M53" s="291"/>
      <c r="N53" s="298" t="s">
        <v>288</v>
      </c>
      <c r="O53" s="298" t="s">
        <v>289</v>
      </c>
      <c r="P53" s="299">
        <v>6.3118259737441997</v>
      </c>
      <c r="Q53" s="300"/>
      <c r="R53" s="300"/>
      <c r="S53" s="301"/>
      <c r="T53" s="291"/>
      <c r="U53" s="302">
        <f t="shared" si="0"/>
        <v>19.046833255847382</v>
      </c>
      <c r="V53" s="138">
        <f t="shared" si="1"/>
        <v>3</v>
      </c>
      <c r="W53" s="303">
        <f>'App 3 - Recycling Rate'!S54</f>
        <v>0.51734653382626317</v>
      </c>
      <c r="Y53" s="376" t="str">
        <f t="shared" ref="Y53:Y64" si="28">Z53&amp;"I"&amp;AA53</f>
        <v>120LIWeekly</v>
      </c>
      <c r="Z53" s="604" t="s">
        <v>290</v>
      </c>
      <c r="AA53" s="604" t="s">
        <v>289</v>
      </c>
      <c r="AB53" s="609" cm="1">
        <f t="array" ref="AB53">SUMPRODUCT(--($N$4:$N$131="120L")*--($O$4:$O$131="Weekly")*--($D$4:$D$131="S")*--($P$4:$P$131&gt;0))</f>
        <v>0</v>
      </c>
      <c r="AC53" s="609" cm="1">
        <f t="array" ref="AC53">SUMPRODUCT(--($N$4:$N$131="120L")*--($O$4:$O$131="Weekly")*--($D$4:$D$131="S"),$P$4:$P$131)</f>
        <v>0</v>
      </c>
      <c r="AD53" s="606"/>
      <c r="AE53" s="609" cm="1">
        <f t="array" ref="AE53">SUMPRODUCT(--($N$4:$N$131="120L")*--($O$4:$O$131="Weekly")*--($D$4:$D$131="R")*--($P$4:$P$131&gt;0))</f>
        <v>0</v>
      </c>
      <c r="AF53" s="609" cm="1">
        <f t="array" ref="AF53">SUMPRODUCT(--($N$4:$N$131="120L")*--($O$4:$O$131="Weekly")*--($D$4:$D$131="R"),($P$4:$P$131))</f>
        <v>0</v>
      </c>
      <c r="AG53" s="606"/>
      <c r="AH53" s="609" cm="1">
        <f t="array" ref="AH53">SUMPRODUCT(--($N$4:$N$131="120L")*--($O$4:$O$131="Weekly")*--($D$4:$D$131="N")*--($P$4:$P$131&gt;0))</f>
        <v>0</v>
      </c>
      <c r="AI53" s="609" cm="1">
        <f t="array" ref="AI53">SUMPRODUCT(--($N$4:$N$131="120L")*--($O$4:$O$131="Weekly")*--($D$4:$D$131="N"),($P$4:$P$131))</f>
        <v>0</v>
      </c>
      <c r="AJ53" s="606"/>
      <c r="AK53" s="609" cm="1">
        <f t="array" ref="AK53">SUMPRODUCT(--($N$4:$N$131="120L")*--($O$4:$O$131="Weekly"))</f>
        <v>0</v>
      </c>
      <c r="AL53" s="606" cm="1">
        <f t="array" ref="AL53">SUMPRODUCT(--($N$4:$N$131="120L")*--($O$4:$O$131="Weekly")*--($P$4:$P$131))</f>
        <v>0</v>
      </c>
      <c r="AM53" s="604"/>
      <c r="AN53" s="582"/>
      <c r="AO53" s="604" t="s">
        <v>288</v>
      </c>
      <c r="AP53" s="604" t="s">
        <v>289</v>
      </c>
      <c r="AQ53" s="605">
        <f>AM55</f>
        <v>6.9804176356043994</v>
      </c>
      <c r="AR53" s="606">
        <f>AK55</f>
        <v>3</v>
      </c>
      <c r="AS53" s="574" t="str">
        <f t="shared" ref="AS53:AS57" si="29">AP53&amp;" "&amp;AO53</f>
        <v>Weekly 240L</v>
      </c>
      <c r="AT53" s="639">
        <f t="shared" ref="AT53:AT57" si="30">AQ53</f>
        <v>6.9804176356043994</v>
      </c>
      <c r="BH53" s="119"/>
      <c r="BI53" s="119"/>
      <c r="BJ53" s="119"/>
    </row>
    <row r="54" spans="1:62" x14ac:dyDescent="0.25">
      <c r="A54" s="8">
        <v>13660</v>
      </c>
      <c r="B54" s="8" t="s">
        <v>112</v>
      </c>
      <c r="C54" s="8" t="s">
        <v>16</v>
      </c>
      <c r="D54" s="29" t="s">
        <v>1</v>
      </c>
      <c r="E54" s="291"/>
      <c r="F54" s="292" t="s">
        <v>286</v>
      </c>
      <c r="G54" s="293" t="s">
        <v>289</v>
      </c>
      <c r="H54" s="294">
        <f>'App 7 - HH &amp; Capita'!G55</f>
        <v>6.6176470588235299</v>
      </c>
      <c r="I54" s="291"/>
      <c r="J54" s="295" t="s">
        <v>291</v>
      </c>
      <c r="K54" s="296" t="s">
        <v>287</v>
      </c>
      <c r="L54" s="297">
        <f>'App 7 - HH &amp; Capita'!L55</f>
        <v>2.1069004524886878</v>
      </c>
      <c r="M54" s="291"/>
      <c r="N54" s="298"/>
      <c r="O54" s="298"/>
      <c r="P54" s="299"/>
      <c r="Q54" s="300" t="s">
        <v>288</v>
      </c>
      <c r="R54" s="300" t="s">
        <v>287</v>
      </c>
      <c r="S54" s="301">
        <v>2.7791855236199998</v>
      </c>
      <c r="T54" s="291"/>
      <c r="U54" s="302">
        <f t="shared" si="0"/>
        <v>11.503733034932218</v>
      </c>
      <c r="V54" s="138">
        <f t="shared" si="1"/>
        <v>4</v>
      </c>
      <c r="W54" s="303">
        <f>'App 3 - Recycling Rate'!S55</f>
        <v>0.47640390644769748</v>
      </c>
      <c r="Y54" s="376" t="str">
        <f t="shared" si="28"/>
        <v>140LIWeekly</v>
      </c>
      <c r="Z54" s="604" t="s">
        <v>286</v>
      </c>
      <c r="AA54" s="604" t="s">
        <v>289</v>
      </c>
      <c r="AB54" s="609" cm="1">
        <f t="array" ref="AB54">SUMPRODUCT(--($N$4:$N$131="140L")*--($O$4:$O$131="Weekly")*--($D$4:$D$131="S")*--($P$4:$P$131&gt;0))</f>
        <v>0</v>
      </c>
      <c r="AC54" s="609" cm="1">
        <f t="array" ref="AC54">SUMPRODUCT(--($N$4:$N$131="140L")*--($O$4:$O$131="Weekly")*--($D$4:$D$131="S"),$P$4:$P$131)</f>
        <v>0</v>
      </c>
      <c r="AD54" s="606"/>
      <c r="AE54" s="609" cm="1">
        <f t="array" ref="AE54">SUMPRODUCT(--($N$4:$N$131="140L")*--($O$4:$O$131="Weekly")*--($D$4:$D$131="R")*--($P$4:$P$131&gt;0))</f>
        <v>0</v>
      </c>
      <c r="AF54" s="609" cm="1">
        <f t="array" ref="AF54">SUMPRODUCT(--($N$4:$N$131="140L")*--($O$4:$O$131="Weekly")*--($D$4:$D$131="R"),$P$4:$P$131)</f>
        <v>0</v>
      </c>
      <c r="AG54" s="606"/>
      <c r="AH54" s="609" cm="1">
        <f t="array" ref="AH54">SUMPRODUCT(--($N$4:$N$131="140L")*--($O$4:$O$131="Weekly")*--($D$4:$D$131="N")*--($P$4:$P$131&gt;0))</f>
        <v>0</v>
      </c>
      <c r="AI54" s="609" cm="1">
        <f t="array" ref="AI54">SUMPRODUCT(--($N$4:$N$131="140L")*--($O$4:$O$131="Weekly")*--($D$4:$D$131="N"),$P$4:$P$131)</f>
        <v>0</v>
      </c>
      <c r="AJ54" s="606"/>
      <c r="AK54" s="609" cm="1">
        <f t="array" ref="AK54">SUMPRODUCT(--($N$4:$N$131="140L")*--($O$4:$O$131="Weekly"))</f>
        <v>0</v>
      </c>
      <c r="AL54" s="606" cm="1">
        <f t="array" ref="AL54">SUMPRODUCT(--($N$4:$N$131="140L")*--($O$4:$O$131="Weekly")*--($P$4:$P$131))</f>
        <v>0</v>
      </c>
      <c r="AM54" s="604"/>
      <c r="AN54" s="582"/>
      <c r="AO54" s="604" t="s">
        <v>288</v>
      </c>
      <c r="AP54" s="604" t="s">
        <v>414</v>
      </c>
      <c r="AQ54" s="605">
        <f>AM61</f>
        <v>5.0015348446519994</v>
      </c>
      <c r="AR54" s="606">
        <f>AK61</f>
        <v>36</v>
      </c>
      <c r="AS54" s="574" t="str">
        <f t="shared" si="29"/>
        <v>Fortnightly 240L</v>
      </c>
      <c r="AT54" s="639">
        <f t="shared" si="30"/>
        <v>5.0015348446519994</v>
      </c>
      <c r="BH54" s="119"/>
      <c r="BI54" s="119"/>
      <c r="BJ54" s="119"/>
    </row>
    <row r="55" spans="1:62" x14ac:dyDescent="0.25">
      <c r="A55" s="8">
        <v>13800</v>
      </c>
      <c r="B55" s="8" t="s">
        <v>113</v>
      </c>
      <c r="C55" s="8" t="s">
        <v>18</v>
      </c>
      <c r="D55" s="29" t="s">
        <v>2</v>
      </c>
      <c r="E55" s="291"/>
      <c r="F55" s="292" t="s">
        <v>288</v>
      </c>
      <c r="G55" s="293" t="s">
        <v>289</v>
      </c>
      <c r="H55" s="294">
        <f>'App 7 - HH &amp; Capita'!G56</f>
        <v>14.914033649817201</v>
      </c>
      <c r="I55" s="291"/>
      <c r="J55" s="295" t="s">
        <v>288</v>
      </c>
      <c r="K55" s="296" t="s">
        <v>287</v>
      </c>
      <c r="L55" s="297">
        <f>'App 7 - HH &amp; Capita'!L56</f>
        <v>3.7081717914951486</v>
      </c>
      <c r="M55" s="291"/>
      <c r="N55" s="298" t="s">
        <v>288</v>
      </c>
      <c r="O55" s="298" t="s">
        <v>287</v>
      </c>
      <c r="P55" s="299">
        <v>6.5911169331819996</v>
      </c>
      <c r="Q55" s="300"/>
      <c r="R55" s="300"/>
      <c r="S55" s="301"/>
      <c r="T55" s="291"/>
      <c r="U55" s="302">
        <f t="shared" si="0"/>
        <v>25.21332237449435</v>
      </c>
      <c r="V55" s="138">
        <f t="shared" si="1"/>
        <v>3</v>
      </c>
      <c r="W55" s="303">
        <f>'App 3 - Recycling Rate'!S56</f>
        <v>0.39085978270365873</v>
      </c>
      <c r="Y55" s="376" t="str">
        <f t="shared" si="28"/>
        <v>240LIWeekly</v>
      </c>
      <c r="Z55" s="604" t="s">
        <v>288</v>
      </c>
      <c r="AA55" s="604" t="s">
        <v>289</v>
      </c>
      <c r="AB55" s="609" cm="1">
        <f t="array" ref="AB55">SUMPRODUCT(--($N$4:$N$131="240L")*--($O$4:$O$131="Weekly")*--($D$4:$D$131="S")*--($P$4:$P$131&gt;0))</f>
        <v>2</v>
      </c>
      <c r="AC55" s="609" cm="1">
        <f t="array" ref="AC55">SUMPRODUCT(--($N$4:$N$131="240L")*--($O$4:$O$131="Weekly")*--($D$4:$D$131="S"),$P$4:$P$131)</f>
        <v>14.629426933068999</v>
      </c>
      <c r="AD55" s="606">
        <f>AC55/AB55</f>
        <v>7.3147134665344993</v>
      </c>
      <c r="AE55" s="609" cm="1">
        <f t="array" ref="AE55">SUMPRODUCT(--($N$4:$N$131="240L")*--($O$4:$O$131="Weekly")*--($D$4:$D$131="R")*--($P$4:$P$131&gt;0))</f>
        <v>0</v>
      </c>
      <c r="AF55" s="609" cm="1">
        <f t="array" ref="AF55">SUMPRODUCT(--($N$4:$N$131="240L")*--($O$4:$O$131="Weekly")*--($D$4:$D$131="R"),$P$4:$P$131)</f>
        <v>0</v>
      </c>
      <c r="AG55" s="606"/>
      <c r="AH55" s="609" cm="1">
        <f t="array" ref="AH55">SUMPRODUCT(--($N$4:$N$131="240L")*--($O$4:$O$131="Weekly")*--($D$4:$D$131="N")*--($P$4:$P$131&gt;0))</f>
        <v>1</v>
      </c>
      <c r="AI55" s="609" cm="1">
        <f t="array" ref="AI55">SUMPRODUCT(--($N$4:$N$131="240L")*--($O$4:$O$131="Weekly")*--($D$4:$D$131="N"),$P$4:$P$131)</f>
        <v>6.3118259737441997</v>
      </c>
      <c r="AJ55" s="606"/>
      <c r="AK55" s="609" cm="1">
        <f t="array" ref="AK55">SUMPRODUCT(--($N$4:$N$131="240L")*--($O$4:$O$131="Weekly"))</f>
        <v>3</v>
      </c>
      <c r="AL55" s="606" cm="1">
        <f t="array" ref="AL55">SUMPRODUCT(--($N$4:$N$131="240L")*--($O$4:$O$131="Weekly")*--($P$4:$P$131))</f>
        <v>20.941252906813197</v>
      </c>
      <c r="AM55" s="604">
        <f>AL55/AK55</f>
        <v>6.9804176356043994</v>
      </c>
      <c r="AN55" s="582"/>
      <c r="AO55" s="604" t="s">
        <v>288</v>
      </c>
      <c r="AP55" s="604" t="s">
        <v>293</v>
      </c>
      <c r="AQ55" s="605">
        <f>AM64</f>
        <v>4.4375116275214497</v>
      </c>
      <c r="AR55" s="606">
        <f>AK64</f>
        <v>2</v>
      </c>
      <c r="AS55" s="574" t="str">
        <f t="shared" si="29"/>
        <v>Monthly 240L</v>
      </c>
      <c r="AT55" s="639">
        <f t="shared" si="30"/>
        <v>4.4375116275214497</v>
      </c>
      <c r="BH55" s="119"/>
      <c r="BI55" s="119"/>
      <c r="BJ55" s="119"/>
    </row>
    <row r="56" spans="1:62" x14ac:dyDescent="0.25">
      <c r="A56" s="8">
        <v>13850</v>
      </c>
      <c r="B56" s="8" t="s">
        <v>114</v>
      </c>
      <c r="C56" s="8" t="s">
        <v>68</v>
      </c>
      <c r="D56" s="29" t="s">
        <v>1</v>
      </c>
      <c r="E56" s="291"/>
      <c r="F56" s="292" t="s">
        <v>288</v>
      </c>
      <c r="G56" s="293" t="s">
        <v>419</v>
      </c>
      <c r="H56" s="294">
        <f>'App 7 - HH &amp; Capita'!G57</f>
        <v>16.690856313497822</v>
      </c>
      <c r="I56" s="291"/>
      <c r="J56" s="295"/>
      <c r="K56" s="296"/>
      <c r="L56" s="297"/>
      <c r="M56" s="291"/>
      <c r="N56" s="298"/>
      <c r="O56" s="298"/>
      <c r="P56" s="299"/>
      <c r="Q56" s="300"/>
      <c r="R56" s="300"/>
      <c r="S56" s="301"/>
      <c r="T56" s="291"/>
      <c r="U56" s="302">
        <f t="shared" si="0"/>
        <v>16.690856313497822</v>
      </c>
      <c r="V56" s="138">
        <f t="shared" si="1"/>
        <v>1</v>
      </c>
      <c r="W56" s="303">
        <f>'App 3 - Recycling Rate'!S57</f>
        <v>0.63086969180218766</v>
      </c>
      <c r="Y56" s="376" t="str">
        <f t="shared" si="28"/>
        <v>240L Split (W/R)IWeekly</v>
      </c>
      <c r="Z56" s="604" t="s">
        <v>413</v>
      </c>
      <c r="AA56" s="604" t="s">
        <v>289</v>
      </c>
      <c r="AB56" s="609" cm="1">
        <f t="array" ref="AB56">SUMPRODUCT(--($N$4:$N$131="240Sp")*--($O$4:$O$131="Weekly")*--($D$4:$D$131="S")*--($P$4:$P$131&gt;0))</f>
        <v>0</v>
      </c>
      <c r="AC56" s="609" cm="1">
        <f t="array" ref="AC56">SUMPRODUCT(--($N$4:$N$131="240Sp")*--($O$4:$O$131="Weekly")*--($D$4:$D$131="S"),$P$4:$P$131)</f>
        <v>0</v>
      </c>
      <c r="AD56" s="606"/>
      <c r="AE56" s="609" cm="1">
        <f t="array" ref="AE56">SUMPRODUCT(--($N$4:$N$131="240Sp")*--($O$4:$O$131="Weekly")*--($D$4:$D$131="R")*--($P$4:$P$131&gt;0))</f>
        <v>0</v>
      </c>
      <c r="AF56" s="609" cm="1">
        <f t="array" ref="AF56">SUMPRODUCT(--($N$4:$N$131="240Sp")*--($O$4:$O$131="Weekly")*--($D$4:$D$131="R"),$P$4:$P$131)</f>
        <v>0</v>
      </c>
      <c r="AG56" s="606"/>
      <c r="AH56" s="609" cm="1">
        <f t="array" ref="AH56">SUMPRODUCT(--($N$4:$N$131="240Sp")*--($O$4:$O$131="Weekly")*--($D$4:$D$131="N")*--($P$4:$P$131&gt;0))</f>
        <v>0</v>
      </c>
      <c r="AI56" s="609" cm="1">
        <f t="array" ref="AI56">SUMPRODUCT(--($N$4:$N$131="240Sp")*--($O$4:$O$131="Weekly")*--($D$4:$D$131="N"),$P$4:$P$131)</f>
        <v>0</v>
      </c>
      <c r="AJ56" s="606"/>
      <c r="AK56" s="609" cm="1">
        <f t="array" ref="AK56">SUMPRODUCT(--($N$4:$N$131="240Sp")*--($O$4:$O$131="Weekly"))</f>
        <v>0</v>
      </c>
      <c r="AL56" s="606" cm="1">
        <f t="array" ref="AL56">SUMPRODUCT(--($N$4:$N$131="240Sp")*--($O$4:$O$131="Weekly")*--($P$4:$P$131))</f>
        <v>0</v>
      </c>
      <c r="AM56" s="604"/>
      <c r="AN56" s="582"/>
      <c r="AO56" s="604" t="s">
        <v>290</v>
      </c>
      <c r="AP56" s="604" t="s">
        <v>414</v>
      </c>
      <c r="AQ56" s="605" t="s">
        <v>419</v>
      </c>
      <c r="AR56" s="606">
        <f>AK59</f>
        <v>0</v>
      </c>
      <c r="AS56" s="574" t="str">
        <f t="shared" si="29"/>
        <v>Fortnightly 120L</v>
      </c>
      <c r="AT56" s="639" t="str">
        <f t="shared" si="30"/>
        <v>-</v>
      </c>
      <c r="BH56" s="119"/>
      <c r="BI56" s="119"/>
      <c r="BJ56" s="119"/>
    </row>
    <row r="57" spans="1:62" x14ac:dyDescent="0.25">
      <c r="A57" s="8">
        <v>13910</v>
      </c>
      <c r="B57" s="8" t="s">
        <v>115</v>
      </c>
      <c r="C57" s="8" t="s">
        <v>67</v>
      </c>
      <c r="D57" s="29" t="s">
        <v>1</v>
      </c>
      <c r="E57" s="291"/>
      <c r="F57" s="292" t="s">
        <v>286</v>
      </c>
      <c r="G57" s="293" t="s">
        <v>289</v>
      </c>
      <c r="H57" s="294">
        <f>'App 7 - HH &amp; Capita'!G58</f>
        <v>31.56910982531851</v>
      </c>
      <c r="I57" s="291"/>
      <c r="J57" s="295" t="s">
        <v>288</v>
      </c>
      <c r="K57" s="296" t="s">
        <v>289</v>
      </c>
      <c r="L57" s="297">
        <f>'App 7 - HH &amp; Capita'!L58</f>
        <v>37.457852325980113</v>
      </c>
      <c r="M57" s="291"/>
      <c r="N57" s="298" t="s">
        <v>288</v>
      </c>
      <c r="O57" s="298" t="s">
        <v>287</v>
      </c>
      <c r="P57" s="299">
        <v>3</v>
      </c>
      <c r="Q57" s="300"/>
      <c r="R57" s="300"/>
      <c r="S57" s="301"/>
      <c r="T57" s="291"/>
      <c r="U57" s="302">
        <f t="shared" si="0"/>
        <v>72.026962151298619</v>
      </c>
      <c r="V57" s="138">
        <f t="shared" si="1"/>
        <v>3</v>
      </c>
      <c r="W57" s="303">
        <f>'App 3 - Recycling Rate'!S58</f>
        <v>0.32020822142257915</v>
      </c>
      <c r="Y57" s="376" t="str">
        <f t="shared" si="28"/>
        <v>55LIWeekly</v>
      </c>
      <c r="Z57" s="604" t="s">
        <v>294</v>
      </c>
      <c r="AA57" s="604" t="s">
        <v>289</v>
      </c>
      <c r="AB57" s="609" cm="1">
        <f t="array" ref="AB57">SUMPRODUCT(--($N$4:$N$131="55L")*--($O$4:$O$131="Weekly")*--($D$4:$D$131="S")*--($P$4:$P$131&gt;0))</f>
        <v>0</v>
      </c>
      <c r="AC57" s="609" cm="1">
        <f t="array" ref="AC57">SUMPRODUCT(--($N$4:$N$131="55L")*--($O$4:$O$131="Weekly")*--($D$4:$D$131="S"),$P$4:$P$131)</f>
        <v>0</v>
      </c>
      <c r="AD57" s="606"/>
      <c r="AE57" s="609" cm="1">
        <f t="array" ref="AE57">SUMPRODUCT(--($N$4:$N$131="55L")*--($O$4:$O$131="Weekly")*--($D$4:$D$131="R")*--($P$4:$P$131&gt;0))</f>
        <v>0</v>
      </c>
      <c r="AF57" s="609" cm="1">
        <f t="array" ref="AF57">SUMPRODUCT(--($N$4:$N$131="55L")*--($O$4:$O$131="Weekly")*--($D$4:$D$131="R"),$P$4:$P$131)</f>
        <v>0</v>
      </c>
      <c r="AG57" s="606"/>
      <c r="AH57" s="609" cm="1">
        <f t="array" ref="AH57">SUMPRODUCT(--($N$4:$N$131="55L")*--($O$4:$O$131="Weekly")*--($D$4:$D$131="N")*--($P$4:$P$131&gt;0))</f>
        <v>0</v>
      </c>
      <c r="AI57" s="609" cm="1">
        <f t="array" ref="AI57">SUMPRODUCT(--($N$4:$N$131="55L")*--($O$4:$O$131="Weekly")*--($D$4:$D$131="N"),$P$4:$P$131)</f>
        <v>0</v>
      </c>
      <c r="AJ57" s="606"/>
      <c r="AK57" s="609" cm="1">
        <f t="array" ref="AK57">SUMPRODUCT(--($N$4:$N$131="55L")*--($O$4:$O$131="Weekly"))</f>
        <v>0</v>
      </c>
      <c r="AL57" s="606" cm="1">
        <f t="array" ref="AL57">SUMPRODUCT(--($N$4:$N$131="55L")*--($O$4:$O$131="Weekly")*--($P$4:$P$131))</f>
        <v>0</v>
      </c>
      <c r="AM57" s="604"/>
      <c r="AN57" s="582"/>
      <c r="AO57" s="604" t="s">
        <v>286</v>
      </c>
      <c r="AP57" s="604" t="s">
        <v>414</v>
      </c>
      <c r="AQ57" s="605" t="s">
        <v>419</v>
      </c>
      <c r="AR57" s="606">
        <f>AK60</f>
        <v>0</v>
      </c>
      <c r="AS57" s="574" t="str">
        <f t="shared" si="29"/>
        <v>Fortnightly 140L</v>
      </c>
      <c r="AT57" s="639" t="str">
        <f t="shared" si="30"/>
        <v>-</v>
      </c>
      <c r="BH57" s="119"/>
      <c r="BI57" s="119"/>
      <c r="BJ57" s="119"/>
    </row>
    <row r="58" spans="1:62" x14ac:dyDescent="0.25">
      <c r="A58" s="8">
        <v>14000</v>
      </c>
      <c r="B58" s="8" t="s">
        <v>116</v>
      </c>
      <c r="C58" s="8" t="s">
        <v>24</v>
      </c>
      <c r="D58" s="29" t="s">
        <v>2</v>
      </c>
      <c r="E58" s="291"/>
      <c r="F58" s="292" t="s">
        <v>288</v>
      </c>
      <c r="G58" s="293" t="s">
        <v>473</v>
      </c>
      <c r="H58" s="294">
        <f>'App 7 - HH &amp; Capita'!G59</f>
        <v>11.158159597411935</v>
      </c>
      <c r="I58" s="291"/>
      <c r="J58" s="295" t="s">
        <v>288</v>
      </c>
      <c r="K58" s="296" t="s">
        <v>287</v>
      </c>
      <c r="L58" s="297">
        <f>'App 7 - HH &amp; Capita'!L59</f>
        <v>3.5283968368080516</v>
      </c>
      <c r="M58" s="291"/>
      <c r="N58" s="298" t="s">
        <v>288</v>
      </c>
      <c r="O58" s="298" t="s">
        <v>287</v>
      </c>
      <c r="P58" s="299">
        <v>6.8569374556830001</v>
      </c>
      <c r="Q58" s="300"/>
      <c r="R58" s="300"/>
      <c r="S58" s="301"/>
      <c r="T58" s="291"/>
      <c r="U58" s="302">
        <f t="shared" si="0"/>
        <v>21.543493889902987</v>
      </c>
      <c r="V58" s="138">
        <f t="shared" si="1"/>
        <v>3</v>
      </c>
      <c r="W58" s="303">
        <f>'App 3 - Recycling Rate'!S59</f>
        <v>0.4887848953973884</v>
      </c>
      <c r="Y58" s="376" t="str">
        <f t="shared" si="28"/>
        <v>80LIWeekly</v>
      </c>
      <c r="Z58" s="604" t="s">
        <v>292</v>
      </c>
      <c r="AA58" s="604" t="s">
        <v>289</v>
      </c>
      <c r="AB58" s="609" cm="1">
        <f t="array" ref="AB58">SUMPRODUCT(--($N$4:$N$131="80L")*--($O$4:$O$131="Weekly")*--($D$4:$D$131="S")*--($P$4:$P$131&gt;0))</f>
        <v>0</v>
      </c>
      <c r="AC58" s="609" cm="1">
        <f t="array" ref="AC58">SUMPRODUCT(--($N$4:$N$131="80L")*--($O$4:$O$131="Weekly")*--($D$4:$D$131="S"),$P$4:$P$131)</f>
        <v>0</v>
      </c>
      <c r="AD58" s="606"/>
      <c r="AE58" s="609" cm="1">
        <f t="array" ref="AE58">SUMPRODUCT(--($N$4:$N$131="80L")*--($O$4:$O$131="Weekly")*--($D$4:$D$131="R")*--($P$4:$P$131&gt;0))</f>
        <v>0</v>
      </c>
      <c r="AF58" s="609" cm="1">
        <f t="array" ref="AF58">SUMPRODUCT(--($N$4:$N$131="80L")*--($O$4:$O$131="Weekly")*--($D$4:$D$131="R"),$P$4:$P$131)</f>
        <v>0</v>
      </c>
      <c r="AG58" s="606"/>
      <c r="AH58" s="609" cm="1">
        <f t="array" ref="AH58">SUMPRODUCT(--($N$4:$N$131="80L")*--($O$4:$O$131="Weekly")*--($D$4:$D$131="N")*--($P$4:$P$131&gt;0))</f>
        <v>0</v>
      </c>
      <c r="AI58" s="609" cm="1">
        <f t="array" ref="AI58">SUMPRODUCT(--($N$4:$N$131="80L")*--($O$4:$O$131="Weekly")*--($D$4:$D$131="N"),$P$4:$P$131)</f>
        <v>0</v>
      </c>
      <c r="AJ58" s="606"/>
      <c r="AK58" s="609" cm="1">
        <f t="array" ref="AK58">SUMPRODUCT(--($N$4:$N$131="80L")*--($O$4:$O$131="Weekly"))</f>
        <v>0</v>
      </c>
      <c r="AL58" s="606" cm="1">
        <f t="array" ref="AL58">SUMPRODUCT(--($N$4:$N$131="80L")*--($O$4:$O$131="Weekly")*--($P$4:$P$131))</f>
        <v>0</v>
      </c>
      <c r="AM58" s="604"/>
      <c r="AN58" s="582"/>
      <c r="AO58" s="604"/>
      <c r="AP58" s="604"/>
      <c r="AQ58" s="605"/>
      <c r="AR58" s="606"/>
      <c r="AS58" s="586"/>
      <c r="BH58" s="119"/>
      <c r="BI58" s="119"/>
      <c r="BJ58" s="119"/>
    </row>
    <row r="59" spans="1:62" x14ac:dyDescent="0.25">
      <c r="A59" s="8">
        <v>14100</v>
      </c>
      <c r="B59" s="8" t="s">
        <v>49</v>
      </c>
      <c r="C59" s="8" t="s">
        <v>24</v>
      </c>
      <c r="D59" s="29" t="s">
        <v>2</v>
      </c>
      <c r="E59" s="291"/>
      <c r="F59" s="292" t="s">
        <v>288</v>
      </c>
      <c r="G59" s="293" t="s">
        <v>289</v>
      </c>
      <c r="H59" s="294">
        <f>'App 7 - HH &amp; Capita'!G60</f>
        <v>10.802431300439268</v>
      </c>
      <c r="I59" s="291"/>
      <c r="J59" s="295" t="s">
        <v>290</v>
      </c>
      <c r="K59" s="296" t="s">
        <v>289</v>
      </c>
      <c r="L59" s="297">
        <f>'App 7 - HH &amp; Capita'!L60</f>
        <v>3.6734597156398103</v>
      </c>
      <c r="M59" s="291"/>
      <c r="N59" s="298" t="s">
        <v>288</v>
      </c>
      <c r="O59" s="298" t="s">
        <v>287</v>
      </c>
      <c r="P59" s="299">
        <v>5.1699174519687343</v>
      </c>
      <c r="Q59" s="300"/>
      <c r="R59" s="300"/>
      <c r="S59" s="301"/>
      <c r="T59" s="291"/>
      <c r="U59" s="302">
        <f t="shared" si="0"/>
        <v>19.645808468047811</v>
      </c>
      <c r="V59" s="138">
        <f t="shared" si="1"/>
        <v>3</v>
      </c>
      <c r="W59" s="303">
        <f>'App 3 - Recycling Rate'!S60</f>
        <v>0.48645336030376013</v>
      </c>
      <c r="Y59" s="376" t="str">
        <f t="shared" si="28"/>
        <v>120LIFortnightly</v>
      </c>
      <c r="Z59" s="604" t="s">
        <v>290</v>
      </c>
      <c r="AA59" s="604" t="s">
        <v>414</v>
      </c>
      <c r="AB59" s="609" cm="1">
        <f t="array" ref="AB59">SUMPRODUCT(--($N$4:$N$131="120L")*--($O$4:$O$131="F/N")*--($D$4:$D$131="S")*--($P$4:$P$131&gt;0))</f>
        <v>0</v>
      </c>
      <c r="AC59" s="609" cm="1">
        <f t="array" ref="AC59">SUMPRODUCT(--($N$4:$N$131="120L")*--($O$4:$O$131="F/N")*--($D$4:$D$131="S"),$P$4:$P$131)</f>
        <v>0</v>
      </c>
      <c r="AD59" s="606" t="e">
        <f>AC59/AB59</f>
        <v>#DIV/0!</v>
      </c>
      <c r="AE59" s="609" cm="1">
        <f t="array" ref="AE59">SUMPRODUCT(--($N$4:$N$131="120L")*--($O$4:$O$131="F/N")*--($D$4:$D$131="R")*--($P$4:$P$131&gt;0))</f>
        <v>0</v>
      </c>
      <c r="AF59" s="609" cm="1">
        <f t="array" ref="AF59">SUMPRODUCT(--($N$4:$N$131="120L")*--($O$4:$O$131="F/N")*--($D$4:$D$131="R"),$P$4:$P$131)</f>
        <v>0</v>
      </c>
      <c r="AG59" s="606"/>
      <c r="AH59" s="609" cm="1">
        <f t="array" ref="AH59">SUMPRODUCT(--($N$4:$N$131="120L")*--($O$4:$O$131="F/N")*--($D$4:$D$131="N")*--($P$4:$P$131&gt;0))</f>
        <v>0</v>
      </c>
      <c r="AI59" s="609" cm="1">
        <f t="array" ref="AI59">SUMPRODUCT(--($N$4:$N$131="120L")*--($O$4:$O$131="F/N")*--($D$4:$D$131="N"),$P$4:$P$131)</f>
        <v>0</v>
      </c>
      <c r="AJ59" s="606"/>
      <c r="AK59" s="609" cm="1">
        <f t="array" ref="AK59">SUMPRODUCT(--($N$4:$N$131="120L")*--($O$4:$O$131="F/N"))</f>
        <v>0</v>
      </c>
      <c r="AL59" s="606" cm="1">
        <f t="array" ref="AL59">SUMPRODUCT(--($N$4:$N$131="120L")*--($O$4:$O$131="F/N")*--($P$4:$P$131))</f>
        <v>0</v>
      </c>
      <c r="AM59" s="604" t="e">
        <f>AL59/AK59</f>
        <v>#DIV/0!</v>
      </c>
      <c r="AN59" s="582"/>
      <c r="AO59" s="604"/>
      <c r="AP59" s="604"/>
      <c r="AQ59" s="605"/>
      <c r="AR59" s="606"/>
      <c r="AS59" s="586"/>
      <c r="BH59" s="119"/>
      <c r="BI59" s="119"/>
      <c r="BJ59" s="119"/>
    </row>
    <row r="60" spans="1:62" x14ac:dyDescent="0.25">
      <c r="A60" s="8">
        <v>14170</v>
      </c>
      <c r="B60" s="8" t="s">
        <v>50</v>
      </c>
      <c r="C60" s="8" t="s">
        <v>17</v>
      </c>
      <c r="D60" s="29" t="s">
        <v>2</v>
      </c>
      <c r="E60" s="291"/>
      <c r="F60" s="292" t="s">
        <v>288</v>
      </c>
      <c r="G60" s="293" t="s">
        <v>287</v>
      </c>
      <c r="H60" s="294">
        <f>'App 7 - HH &amp; Capita'!G61</f>
        <v>9.1716584826593319</v>
      </c>
      <c r="I60" s="291"/>
      <c r="J60" s="295" t="s">
        <v>288</v>
      </c>
      <c r="K60" s="296" t="s">
        <v>287</v>
      </c>
      <c r="L60" s="297">
        <f>'App 7 - HH &amp; Capita'!L61</f>
        <v>2.6004385364904365</v>
      </c>
      <c r="M60" s="291"/>
      <c r="N60" s="298"/>
      <c r="O60" s="298"/>
      <c r="P60" s="299"/>
      <c r="Q60" s="300" t="s">
        <v>288</v>
      </c>
      <c r="R60" s="300" t="s">
        <v>289</v>
      </c>
      <c r="S60" s="301"/>
      <c r="T60" s="291"/>
      <c r="U60" s="302">
        <f t="shared" si="0"/>
        <v>11.772097019149768</v>
      </c>
      <c r="V60" s="138">
        <f t="shared" si="1"/>
        <v>4</v>
      </c>
      <c r="W60" s="303">
        <f>'App 3 - Recycling Rate'!S61</f>
        <v>0.52873164012664597</v>
      </c>
      <c r="Y60" s="376" t="str">
        <f t="shared" si="28"/>
        <v>140LIFortnightly</v>
      </c>
      <c r="Z60" s="604" t="s">
        <v>286</v>
      </c>
      <c r="AA60" s="604" t="s">
        <v>414</v>
      </c>
      <c r="AB60" s="609" cm="1">
        <f t="array" ref="AB60">SUMPRODUCT(--($N$4:$N$131="140L")*--($O$4:$O$131="F/N")*--($D$4:$D$131="S")*--($P$4:$P$131&gt;0))</f>
        <v>0</v>
      </c>
      <c r="AC60" s="609" cm="1">
        <f t="array" ref="AC60">SUMPRODUCT(--($N$4:$N$131="140L")*--($O$4:$O$131="F/N")*--($D$4:$D$131="S"),$P$4:$P$131)</f>
        <v>0</v>
      </c>
      <c r="AD60" s="606"/>
      <c r="AE60" s="609" cm="1">
        <f t="array" ref="AE60">SUMPRODUCT(--($N$4:$N$131="140L")*--($O$4:$O$131="F/N")*--($D$4:$D$131="R")*--($P$4:$P$131&gt;0))</f>
        <v>0</v>
      </c>
      <c r="AF60" s="609" cm="1">
        <f t="array" ref="AF60">SUMPRODUCT(--($N$4:$N$131="140L")*--($O$4:$O$131="F/N")*--($D$4:$D$131="R"),$P$4:$P$131)</f>
        <v>0</v>
      </c>
      <c r="AG60" s="606"/>
      <c r="AH60" s="609" cm="1">
        <f t="array" ref="AH60">SUMPRODUCT(--($N$4:$N$131="140L")*--($O$4:$O$131="F/N")*--($D$4:$D$131="N")*--($P$4:$P$131&gt;0))</f>
        <v>0</v>
      </c>
      <c r="AI60" s="609" cm="1">
        <f t="array" ref="AI60">SUMPRODUCT(--($N$4:$N$131="140L")*--($O$4:$O$131="F/N")*--($D$4:$D$131="N"),$P$4:$P$131)</f>
        <v>0</v>
      </c>
      <c r="AJ60" s="606"/>
      <c r="AK60" s="609" cm="1">
        <f t="array" ref="AK60">SUMPRODUCT(--($N$4:$N$131="140L")*--($O$4:$O$131="F/N"))</f>
        <v>0</v>
      </c>
      <c r="AL60" s="606" cm="1">
        <f t="array" ref="AL60">SUMPRODUCT(--($N$4:$N$131="140L")*--($O$4:$O$131="F/N")*--($P$4:$P$131))</f>
        <v>0</v>
      </c>
      <c r="AM60" s="604" t="e">
        <f>AL60/AK60</f>
        <v>#DIV/0!</v>
      </c>
      <c r="AN60" s="582"/>
      <c r="AO60" s="604"/>
      <c r="AP60" s="604"/>
      <c r="AQ60" s="605"/>
      <c r="AR60" s="606"/>
      <c r="AS60" s="586"/>
      <c r="BH60" s="119"/>
      <c r="BI60" s="119"/>
      <c r="BJ60" s="119"/>
    </row>
    <row r="61" spans="1:62" ht="12.75" x14ac:dyDescent="0.2">
      <c r="A61" s="8">
        <v>14220</v>
      </c>
      <c r="B61" s="8" t="s">
        <v>117</v>
      </c>
      <c r="C61" s="8" t="s">
        <v>16</v>
      </c>
      <c r="D61" s="29" t="s">
        <v>1</v>
      </c>
      <c r="E61" s="291"/>
      <c r="F61" s="292" t="s">
        <v>288</v>
      </c>
      <c r="G61" s="293" t="s">
        <v>289</v>
      </c>
      <c r="H61" s="294">
        <f>'App 7 - HH &amp; Capita'!G62</f>
        <v>13.288414748268764</v>
      </c>
      <c r="I61" s="291"/>
      <c r="J61" s="295" t="s">
        <v>288</v>
      </c>
      <c r="K61" s="296" t="s">
        <v>287</v>
      </c>
      <c r="L61" s="297">
        <f>'App 7 - HH &amp; Capita'!L62</f>
        <v>2.4193282029263137</v>
      </c>
      <c r="M61" s="291"/>
      <c r="N61" s="298"/>
      <c r="O61" s="298"/>
      <c r="P61" s="299"/>
      <c r="Q61" s="300"/>
      <c r="R61" s="300"/>
      <c r="S61" s="301"/>
      <c r="T61" s="291"/>
      <c r="U61" s="302">
        <f t="shared" si="0"/>
        <v>15.707742951195078</v>
      </c>
      <c r="V61" s="138">
        <f t="shared" si="1"/>
        <v>2</v>
      </c>
      <c r="W61" s="303">
        <f>'App 3 - Recycling Rate'!S62</f>
        <v>0.35475607173343471</v>
      </c>
      <c r="Y61" s="376" t="str">
        <f t="shared" si="28"/>
        <v>240LIFortnightly</v>
      </c>
      <c r="Z61" s="604" t="s">
        <v>288</v>
      </c>
      <c r="AA61" s="604" t="s">
        <v>414</v>
      </c>
      <c r="AB61" s="609" cm="1">
        <f t="array" ref="AB61">SUMPRODUCT(--($N$4:$N$131="240L")*--($O$4:$O$131="F/N")*--($D$4:$D$131="S")*--($P$4:$P$131&gt;0))</f>
        <v>24</v>
      </c>
      <c r="AC61" s="609" cm="1">
        <f t="array" ref="AC61">SUMPRODUCT(--($N$4:$N$131="240L")*--($O$4:$O$131="F/N")*--($D$4:$D$131="S"),$P$4:$P$131)</f>
        <v>129.61514343223718</v>
      </c>
      <c r="AD61" s="606">
        <f>AC61/AB61</f>
        <v>5.4006309763432157</v>
      </c>
      <c r="AE61" s="609" cm="1">
        <f t="array" ref="AE61">SUMPRODUCT(--($N$4:$N$131="240L")*--($O$4:$O$131="F/N")*--($D$4:$D$131="R")*--($P$4:$P$131&gt;0))</f>
        <v>5</v>
      </c>
      <c r="AF61" s="609" cm="1">
        <f t="array" ref="AF61">SUMPRODUCT(--($N$4:$N$131="240L")*--($O$4:$O$131="F/N")*--($D$4:$D$131="R"),$P$4:$P$131)</f>
        <v>25.306909017480265</v>
      </c>
      <c r="AG61" s="606">
        <f>AF61/AE61</f>
        <v>5.0613818034960527</v>
      </c>
      <c r="AH61" s="609" cm="1">
        <f t="array" ref="AH61">SUMPRODUCT(--($N$4:$N$131="240L")*--($O$4:$O$131="F/N")*--($D$4:$D$131="N")*--($P$4:$P$131&gt;0))</f>
        <v>6</v>
      </c>
      <c r="AI61" s="609" cm="1">
        <f t="array" ref="AI61">SUMPRODUCT(--($N$4:$N$131="240L")*--($O$4:$O$131="F/N")*--($D$4:$D$131="N"),$P$4:$P$131)</f>
        <v>25.133201957754515</v>
      </c>
      <c r="AJ61" s="606">
        <f>AI61/AH61</f>
        <v>4.1888669929590856</v>
      </c>
      <c r="AK61" s="609" cm="1">
        <f t="array" ref="AK61">SUMPRODUCT(--($N$4:$N$131="240L")*--($O$4:$O$131="F/N"))</f>
        <v>36</v>
      </c>
      <c r="AL61" s="606" cm="1">
        <f t="array" ref="AL61">SUMPRODUCT(--($N$4:$N$131="240L")*--($O$4:$O$131="F/N")*--($P$4:$P$131))</f>
        <v>180.05525440747198</v>
      </c>
      <c r="AM61" s="604">
        <f>AL61/AK61</f>
        <v>5.0015348446519994</v>
      </c>
      <c r="AN61" s="582"/>
      <c r="AO61" s="604"/>
      <c r="AP61" s="604"/>
      <c r="AQ61" s="605"/>
      <c r="AR61" s="606"/>
      <c r="AS61" s="586"/>
      <c r="AT61" s="582"/>
      <c r="AU61" s="582"/>
      <c r="AV61" s="582"/>
      <c r="AW61" s="582"/>
      <c r="AX61" s="582"/>
      <c r="AY61" s="582"/>
      <c r="AZ61" s="582"/>
      <c r="BA61" s="582"/>
      <c r="BB61" s="582"/>
      <c r="BC61" s="582"/>
      <c r="BD61" s="582"/>
      <c r="BE61" s="582"/>
      <c r="BF61" s="582"/>
      <c r="BG61" s="582"/>
      <c r="BH61" s="119"/>
      <c r="BI61" s="119"/>
      <c r="BJ61" s="119"/>
    </row>
    <row r="62" spans="1:62" x14ac:dyDescent="0.25">
      <c r="A62" s="8">
        <v>14300</v>
      </c>
      <c r="B62" s="8" t="s">
        <v>118</v>
      </c>
      <c r="C62" s="8" t="s">
        <v>21</v>
      </c>
      <c r="D62" s="29" t="s">
        <v>1</v>
      </c>
      <c r="E62" s="291"/>
      <c r="F62" s="292" t="s">
        <v>290</v>
      </c>
      <c r="G62" s="293" t="s">
        <v>289</v>
      </c>
      <c r="H62" s="294">
        <f>'App 7 - HH &amp; Capita'!G63</f>
        <v>6.6612671560804335</v>
      </c>
      <c r="I62" s="291"/>
      <c r="J62" s="295" t="s">
        <v>288</v>
      </c>
      <c r="K62" s="296" t="s">
        <v>287</v>
      </c>
      <c r="L62" s="297">
        <f>'App 7 - HH &amp; Capita'!L63</f>
        <v>2.1406628515254713</v>
      </c>
      <c r="M62" s="291"/>
      <c r="N62" s="298"/>
      <c r="O62" s="298"/>
      <c r="P62" s="299"/>
      <c r="Q62" s="300" t="s">
        <v>288</v>
      </c>
      <c r="R62" s="300" t="s">
        <v>287</v>
      </c>
      <c r="S62" s="301">
        <v>7.252373916552</v>
      </c>
      <c r="T62" s="291"/>
      <c r="U62" s="302">
        <f t="shared" si="0"/>
        <v>16.054303924157903</v>
      </c>
      <c r="V62" s="138">
        <f t="shared" si="1"/>
        <v>4</v>
      </c>
      <c r="W62" s="303">
        <f>'App 3 - Recycling Rate'!S63</f>
        <v>0.5273158112132873</v>
      </c>
      <c r="Y62" s="376" t="str">
        <f t="shared" si="28"/>
        <v>240L Split (W/R)IFortnightly</v>
      </c>
      <c r="Z62" s="604" t="s">
        <v>413</v>
      </c>
      <c r="AA62" s="604" t="s">
        <v>414</v>
      </c>
      <c r="AB62" s="609" cm="1">
        <f t="array" ref="AB62">SUMPRODUCT(--($N$4:$N$131="240Sp")*--($O$4:$O$131="F/N")*--($D$4:$D$131="S")*--($P$4:$P$131&gt;0))</f>
        <v>0</v>
      </c>
      <c r="AC62" s="609" cm="1">
        <f t="array" ref="AC62">SUMPRODUCT(--($N$4:$N$131="240Sp")*--($O$4:$O$131="F/N")*--($D$4:$D$131="S"),$P$4:$P$131)</f>
        <v>0</v>
      </c>
      <c r="AD62" s="606"/>
      <c r="AE62" s="609" cm="1">
        <f t="array" ref="AE62">SUMPRODUCT(--($N$4:$N$131="240Sp")*--($O$4:$O$131="F/N")*--($D$4:$D$131="R")*--($P$4:$P$131&gt;0))</f>
        <v>0</v>
      </c>
      <c r="AF62" s="609" cm="1">
        <f t="array" ref="AF62">SUMPRODUCT(--($N$4:$N$131="240Sp")*--($O$4:$O$131="F/N")*--($D$4:$D$131="R"),$P$4:$P$131)</f>
        <v>0</v>
      </c>
      <c r="AG62" s="606"/>
      <c r="AH62" s="609" cm="1">
        <f t="array" ref="AH62">SUMPRODUCT(--($N$4:$N$131="240Sp")*--($O$4:$O$131="F/N")*--($D$4:$D$131="N")*--($P$4:$P$131&gt;0))</f>
        <v>0</v>
      </c>
      <c r="AI62" s="609" cm="1">
        <f t="array" ref="AI62">SUMPRODUCT(--($N$4:$N$131="240Sp")*--($O$4:$O$131="F/N")*--($D$4:$D$131="N"),$P$4:$P$131)</f>
        <v>0</v>
      </c>
      <c r="AJ62" s="606"/>
      <c r="AK62" s="609" cm="1">
        <f t="array" ref="AK62">SUMPRODUCT(--($N$4:$N$131="240Sp")*--($O$4:$O$131="F/N"))</f>
        <v>0</v>
      </c>
      <c r="AL62" s="606" cm="1">
        <f t="array" ref="AL62">SUMPRODUCT(--($N$4:$N$131="240Sp")*--($O$4:$O$131="F/N")*--($P$4:$P$131))</f>
        <v>0</v>
      </c>
      <c r="AM62" s="604"/>
      <c r="AN62" s="582"/>
      <c r="AO62" s="604"/>
      <c r="AP62" s="604"/>
      <c r="AQ62" s="605"/>
      <c r="AR62" s="606"/>
      <c r="AS62" s="586"/>
      <c r="BH62" s="119"/>
      <c r="BI62" s="119"/>
      <c r="BJ62" s="119"/>
    </row>
    <row r="63" spans="1:62" x14ac:dyDescent="0.25">
      <c r="A63" s="8">
        <v>14350</v>
      </c>
      <c r="B63" s="8" t="s">
        <v>119</v>
      </c>
      <c r="C63" s="8" t="s">
        <v>39</v>
      </c>
      <c r="D63" s="29" t="s">
        <v>3</v>
      </c>
      <c r="E63" s="291"/>
      <c r="F63" s="292" t="s">
        <v>288</v>
      </c>
      <c r="G63" s="293" t="s">
        <v>289</v>
      </c>
      <c r="H63" s="294">
        <f>'App 7 - HH &amp; Capita'!G64</f>
        <v>8.5240289161533376</v>
      </c>
      <c r="I63" s="291"/>
      <c r="J63" s="295" t="s">
        <v>288</v>
      </c>
      <c r="K63" s="296" t="s">
        <v>287</v>
      </c>
      <c r="L63" s="297">
        <f>'App 7 - HH &amp; Capita'!L64</f>
        <v>3.4489966555183948</v>
      </c>
      <c r="M63" s="291"/>
      <c r="N63" s="298"/>
      <c r="O63" s="298"/>
      <c r="P63" s="299"/>
      <c r="Q63" s="300" t="s">
        <v>288</v>
      </c>
      <c r="R63" s="300" t="s">
        <v>289</v>
      </c>
      <c r="S63" s="301">
        <v>7.4431438127899998</v>
      </c>
      <c r="T63" s="291"/>
      <c r="U63" s="302">
        <f t="shared" si="0"/>
        <v>19.416169384461732</v>
      </c>
      <c r="V63" s="138">
        <f t="shared" si="1"/>
        <v>4</v>
      </c>
      <c r="W63" s="303">
        <f>'App 3 - Recycling Rate'!S64</f>
        <v>0.80826170881115822</v>
      </c>
      <c r="Y63" s="376" t="str">
        <f t="shared" si="28"/>
        <v>360LIFortnightly</v>
      </c>
      <c r="Z63" s="604" t="s">
        <v>291</v>
      </c>
      <c r="AA63" s="604" t="s">
        <v>414</v>
      </c>
      <c r="AB63" s="609" cm="1">
        <f t="array" ref="AB63">SUMPRODUCT(--($N$4:$N$131="360L")*--($O$4:$O$131="F/N")*--($D$4:$D$131="S")*--($P$4:$P$131&gt;0))</f>
        <v>0</v>
      </c>
      <c r="AC63" s="609" cm="1">
        <f t="array" ref="AC63">SUMPRODUCT(--($N$4:$N$131="360L")*--($O$4:$O$131="F/N")*--($D$4:$D$131="S"),$P$4:$P$131)</f>
        <v>0</v>
      </c>
      <c r="AD63" s="606" t="e">
        <f>AC63/AB63</f>
        <v>#DIV/0!</v>
      </c>
      <c r="AE63" s="609" cm="1">
        <f t="array" ref="AE63">SUMPRODUCT(--($N$4:$N$131="360L")*--($O$4:$O$131="F/N")*--($D$4:$D$131="R")*--($P$4:$P$131&gt;0))</f>
        <v>0</v>
      </c>
      <c r="AF63" s="609" cm="1">
        <f t="array" ref="AF63">SUMPRODUCT(--($N$4:$N$131="360L")*--($O$4:$O$131="F/N")*--($D$4:$D$131="R"),$P$4:$P$131)</f>
        <v>0</v>
      </c>
      <c r="AG63" s="606"/>
      <c r="AH63" s="609" cm="1">
        <f t="array" ref="AH63">SUMPRODUCT(--($N$4:$N$131="360L")*--($O$4:$O$131="F/N")*--($D$4:$D$131="N")*--($P$4:$P$131&gt;0))</f>
        <v>0</v>
      </c>
      <c r="AI63" s="609" cm="1">
        <f t="array" ref="AI63">SUMPRODUCT(--($N$4:$N$131="360L")*--($O$4:$O$131="F/N")*--($D$4:$D$131="N"),$P$4:$P$131)</f>
        <v>0</v>
      </c>
      <c r="AJ63" s="606"/>
      <c r="AK63" s="609" cm="1">
        <f t="array" ref="AK63">SUMPRODUCT(--($N$4:$N$131="360L")*--($O$4:$O$131="F/N"))</f>
        <v>0</v>
      </c>
      <c r="AL63" s="606" cm="1">
        <f t="array" ref="AL63">SUMPRODUCT(--($N$4:$N$131="360L")*--($O$4:$O$131="F/N")*--($P$4:$P$131))</f>
        <v>0</v>
      </c>
      <c r="AM63" s="604" t="e">
        <f>AL63/AK63</f>
        <v>#DIV/0!</v>
      </c>
      <c r="AN63" s="582"/>
      <c r="AO63" s="604"/>
      <c r="AP63" s="604"/>
      <c r="AQ63" s="605"/>
      <c r="AR63" s="606"/>
      <c r="AS63" s="586"/>
      <c r="BH63" s="119"/>
      <c r="BI63" s="119"/>
      <c r="BJ63" s="119"/>
    </row>
    <row r="64" spans="1:62" x14ac:dyDescent="0.25">
      <c r="A64" s="8">
        <v>14400</v>
      </c>
      <c r="B64" s="8" t="s">
        <v>120</v>
      </c>
      <c r="C64" s="8" t="s">
        <v>37</v>
      </c>
      <c r="D64" s="29" t="s">
        <v>2</v>
      </c>
      <c r="E64" s="291"/>
      <c r="F64" s="292" t="s">
        <v>286</v>
      </c>
      <c r="G64" s="293" t="s">
        <v>287</v>
      </c>
      <c r="H64" s="294">
        <f>'App 7 - HH &amp; Capita'!G65</f>
        <v>4.9965351518327497</v>
      </c>
      <c r="I64" s="291"/>
      <c r="J64" s="295" t="s">
        <v>288</v>
      </c>
      <c r="K64" s="296" t="s">
        <v>289</v>
      </c>
      <c r="L64" s="297">
        <f>'App 7 - HH &amp; Capita'!L65</f>
        <v>4.3692896427347119</v>
      </c>
      <c r="M64" s="291"/>
      <c r="N64" s="298"/>
      <c r="O64" s="298"/>
      <c r="P64" s="299"/>
      <c r="Q64" s="300" t="s">
        <v>288</v>
      </c>
      <c r="R64" s="300" t="s">
        <v>289</v>
      </c>
      <c r="S64" s="301">
        <v>1.79489962184</v>
      </c>
      <c r="T64" s="291"/>
      <c r="U64" s="302">
        <f t="shared" si="0"/>
        <v>11.160724416407461</v>
      </c>
      <c r="V64" s="138">
        <f t="shared" si="1"/>
        <v>4</v>
      </c>
      <c r="W64" s="303">
        <f>'App 3 - Recycling Rate'!S65</f>
        <v>0.73691968770695271</v>
      </c>
      <c r="Y64" s="376" t="str">
        <f t="shared" si="28"/>
        <v>240LIMonthly</v>
      </c>
      <c r="Z64" s="604" t="s">
        <v>288</v>
      </c>
      <c r="AA64" s="604" t="s">
        <v>293</v>
      </c>
      <c r="AB64" s="609" cm="1">
        <f t="array" ref="AB64">SUMPRODUCT(--($N$4:$N$131="240L")*--($O$4:$O$131="Monthly")*--($D$4:$D$131="S")*--($P$4:$P$131&gt;0))</f>
        <v>1</v>
      </c>
      <c r="AC64" s="609" cm="1">
        <f t="array" ref="AC64">SUMPRODUCT(--($N$4:$N$131="240L")*--($O$4:$O$131="Monthly")*--($D$4:$D$131="S"),$P$4:$P$131)</f>
        <v>2.5525785763469</v>
      </c>
      <c r="AD64" s="606">
        <f>AC64/AB64</f>
        <v>2.5525785763469</v>
      </c>
      <c r="AE64" s="609" cm="1">
        <f t="array" ref="AE64">SUMPRODUCT(--($N$4:$N$131="240L")*--($O$4:$O$131="Monthly")*--($D$4:$D$131="R")*--($P$4:$P$131&gt;0))</f>
        <v>0</v>
      </c>
      <c r="AF64" s="609" cm="1">
        <f t="array" ref="AF64">SUMPRODUCT(--($N$4:$N$131="240L")*--($O$4:$O$131="Monthly")*--($D$4:$D$131="R"),$P$4:$P$131)</f>
        <v>0</v>
      </c>
      <c r="AG64" s="606"/>
      <c r="AH64" s="609" cm="1">
        <f t="array" ref="AH64">SUMPRODUCT(--($N$4:$N$131="240L")*--($O$4:$O$131="Monthly")*--($D$4:$D$131="N")*--($P$4:$P$131&gt;0))</f>
        <v>1</v>
      </c>
      <c r="AI64" s="609" cm="1">
        <f t="array" ref="AI64">SUMPRODUCT(--($N$4:$N$131="240L")*--($O$4:$O$131="Monthly")*--($D$4:$D$131="N"),$P$4:$P$131)</f>
        <v>6.3224446786959998</v>
      </c>
      <c r="AJ64" s="606">
        <f>AI64/AH64</f>
        <v>6.3224446786959998</v>
      </c>
      <c r="AK64" s="609" cm="1">
        <f t="array" ref="AK64">SUMPRODUCT(--($N$4:$N$131="240L")*--($O$4:$O$131="Monthly"))</f>
        <v>2</v>
      </c>
      <c r="AL64" s="606" cm="1">
        <f t="array" ref="AL64">SUMPRODUCT(--($N$4:$N$131="240L")*--($O$4:$O$131="Monthly")*--($P$4:$P$131))</f>
        <v>8.8750232550428994</v>
      </c>
      <c r="AM64" s="604">
        <f>AL64/AK64</f>
        <v>4.4375116275214497</v>
      </c>
      <c r="AN64" s="582"/>
      <c r="AO64" s="582"/>
      <c r="AP64" s="582"/>
      <c r="AQ64" s="582"/>
      <c r="AR64" s="582"/>
      <c r="AS64" s="586"/>
      <c r="BH64" s="119"/>
      <c r="BI64" s="119"/>
      <c r="BJ64" s="119"/>
    </row>
    <row r="65" spans="1:62" x14ac:dyDescent="0.25">
      <c r="A65" s="8">
        <v>14500</v>
      </c>
      <c r="B65" s="8" t="s">
        <v>51</v>
      </c>
      <c r="C65" s="8" t="s">
        <v>24</v>
      </c>
      <c r="D65" s="29" t="s">
        <v>2</v>
      </c>
      <c r="E65" s="291"/>
      <c r="F65" s="292" t="s">
        <v>288</v>
      </c>
      <c r="G65" s="293" t="s">
        <v>289</v>
      </c>
      <c r="H65" s="294">
        <f>'App 7 - HH &amp; Capita'!G66</f>
        <v>9.567332135138674</v>
      </c>
      <c r="I65" s="291"/>
      <c r="J65" s="295" t="s">
        <v>288</v>
      </c>
      <c r="K65" s="296" t="s">
        <v>287</v>
      </c>
      <c r="L65" s="297">
        <f>'App 7 - HH &amp; Capita'!L66</f>
        <v>3.8964778267857687</v>
      </c>
      <c r="M65" s="291"/>
      <c r="N65" s="298" t="s">
        <v>291</v>
      </c>
      <c r="O65" s="298" t="s">
        <v>289</v>
      </c>
      <c r="P65" s="299">
        <v>12.91591741739</v>
      </c>
      <c r="Q65" s="300"/>
      <c r="R65" s="300"/>
      <c r="S65" s="301"/>
      <c r="T65" s="291"/>
      <c r="U65" s="302">
        <f t="shared" si="0"/>
        <v>26.379727379314446</v>
      </c>
      <c r="V65" s="138">
        <f t="shared" si="1"/>
        <v>3</v>
      </c>
      <c r="W65" s="303">
        <f>'App 3 - Recycling Rate'!S66</f>
        <v>0.62635444787076267</v>
      </c>
      <c r="AB65" s="593"/>
      <c r="AC65" s="593"/>
      <c r="AE65" s="593"/>
      <c r="AF65" s="593"/>
      <c r="AH65" s="593"/>
      <c r="AI65" s="593"/>
      <c r="AK65" s="593"/>
      <c r="AN65" s="582"/>
      <c r="AO65" s="582"/>
      <c r="AP65" s="582"/>
      <c r="AQ65" s="582"/>
      <c r="AR65" s="582"/>
      <c r="AS65" s="586"/>
      <c r="BH65" s="119"/>
      <c r="BI65" s="119"/>
      <c r="BJ65" s="119"/>
    </row>
    <row r="66" spans="1:62" x14ac:dyDescent="0.25">
      <c r="A66" s="8">
        <v>14550</v>
      </c>
      <c r="B66" s="8" t="s">
        <v>121</v>
      </c>
      <c r="C66" s="8" t="s">
        <v>19</v>
      </c>
      <c r="D66" s="29" t="s">
        <v>3</v>
      </c>
      <c r="E66" s="291"/>
      <c r="F66" s="292" t="s">
        <v>468</v>
      </c>
      <c r="G66" s="293" t="s">
        <v>289</v>
      </c>
      <c r="H66" s="294">
        <f>'App 7 - HH &amp; Capita'!G67</f>
        <v>8.9777231356429823</v>
      </c>
      <c r="I66" s="291"/>
      <c r="J66" s="295" t="s">
        <v>472</v>
      </c>
      <c r="K66" s="296" t="s">
        <v>289</v>
      </c>
      <c r="L66" s="297">
        <f>'App 7 - HH &amp; Capita'!L67</f>
        <v>2.0131752789195536</v>
      </c>
      <c r="M66" s="291"/>
      <c r="N66" s="298"/>
      <c r="O66" s="298"/>
      <c r="P66" s="299"/>
      <c r="Q66" s="300"/>
      <c r="R66" s="300"/>
      <c r="S66" s="301"/>
      <c r="T66" s="291"/>
      <c r="U66" s="302">
        <f t="shared" si="0"/>
        <v>10.990898414562537</v>
      </c>
      <c r="V66" s="138">
        <f t="shared" si="1"/>
        <v>2</v>
      </c>
      <c r="W66" s="303">
        <f>'App 3 - Recycling Rate'!S67</f>
        <v>0.37053632286193805</v>
      </c>
      <c r="Z66" s="604" t="s">
        <v>418</v>
      </c>
      <c r="AA66" s="604"/>
      <c r="AB66" s="609" cm="1">
        <f t="array" ref="AB66">SUMPRODUCT(--($N$4:$N$131="")*--($O$4:$O$131="")*--($D$4:$D$131="S")*--($P$4:$P$131&gt;0))</f>
        <v>0</v>
      </c>
      <c r="AC66" s="609" cm="1">
        <f t="array" ref="AC66">SUMPRODUCT(--($N$4:$N$131="")*--($O$4:$O$131="")*--($D$4:$D$131="S"),$P$4:$P$131)</f>
        <v>0</v>
      </c>
      <c r="AD66" s="606" t="s">
        <v>419</v>
      </c>
      <c r="AE66" s="609" cm="1">
        <f t="array" ref="AE66">SUMPRODUCT(--($N$4:$N$131="")*--($O$4:$O$131="")*--($D$4:$D$131="R")*--($P$4:$P$131&gt;0))</f>
        <v>0</v>
      </c>
      <c r="AF66" s="609" cm="1">
        <f t="array" ref="AF66">SUMPRODUCT(--($N$4:$N$131="")*--($O$4:$O$131="")*--($D$4:$D$131="R"),$P$4:$P$131)</f>
        <v>0</v>
      </c>
      <c r="AG66" s="606" t="s">
        <v>419</v>
      </c>
      <c r="AH66" s="609" cm="1">
        <f t="array" ref="AH66">SUMPRODUCT(--($N$4:$N$131="")*--($O$4:$O$131="")*--($D$4:$D$131="N")*--($P$4:$P$131&gt;0))</f>
        <v>0</v>
      </c>
      <c r="AI66" s="609" cm="1">
        <f t="array" ref="AI66">SUMPRODUCT(--($N$4:$N$131="")*--($O$4:$O$131="")*--($D$4:$D$131="N"),$P$4:$P$131)</f>
        <v>0</v>
      </c>
      <c r="AJ66" s="606" t="s">
        <v>419</v>
      </c>
      <c r="AK66" s="609" cm="1">
        <f t="array" ref="AK66">SUMPRODUCT(--($N$4:$N$131="")*--($O$4:$O$131=""))</f>
        <v>85</v>
      </c>
      <c r="AL66" s="606" t="s">
        <v>419</v>
      </c>
      <c r="AM66" s="604" t="s">
        <v>419</v>
      </c>
      <c r="AR66" s="592">
        <f>SUM(AR52:AR65)</f>
        <v>41</v>
      </c>
      <c r="BH66" s="119"/>
      <c r="BI66" s="119"/>
      <c r="BJ66" s="119"/>
    </row>
    <row r="67" spans="1:62" x14ac:dyDescent="0.25">
      <c r="A67" s="8">
        <v>14600</v>
      </c>
      <c r="B67" s="8" t="s">
        <v>122</v>
      </c>
      <c r="C67" s="8" t="s">
        <v>38</v>
      </c>
      <c r="D67" s="29" t="s">
        <v>1</v>
      </c>
      <c r="E67" s="291"/>
      <c r="F67" s="292" t="s">
        <v>288</v>
      </c>
      <c r="G67" s="293" t="s">
        <v>289</v>
      </c>
      <c r="H67" s="294">
        <f>'App 7 - HH &amp; Capita'!G68</f>
        <v>5.2963430012610342</v>
      </c>
      <c r="I67" s="291"/>
      <c r="J67" s="295" t="s">
        <v>288</v>
      </c>
      <c r="K67" s="296" t="s">
        <v>287</v>
      </c>
      <c r="L67" s="297">
        <f>'App 7 - HH &amp; Capita'!L68</f>
        <v>0.72435897435897434</v>
      </c>
      <c r="M67" s="291"/>
      <c r="N67" s="298"/>
      <c r="O67" s="298"/>
      <c r="P67" s="299"/>
      <c r="Q67" s="300"/>
      <c r="R67" s="300"/>
      <c r="S67" s="301"/>
      <c r="T67" s="291"/>
      <c r="U67" s="302">
        <f t="shared" si="0"/>
        <v>6.0207019756200086</v>
      </c>
      <c r="V67" s="138">
        <f t="shared" si="1"/>
        <v>2</v>
      </c>
      <c r="W67" s="303">
        <f>'App 3 - Recycling Rate'!S68</f>
        <v>0.2641325962978861</v>
      </c>
      <c r="AB67" s="593"/>
      <c r="AE67" s="593"/>
      <c r="AH67" s="593"/>
      <c r="AK67" s="593"/>
      <c r="AQ67" s="594"/>
      <c r="AR67" s="592"/>
      <c r="BH67" s="119"/>
      <c r="BI67" s="119"/>
      <c r="BJ67" s="119"/>
    </row>
    <row r="68" spans="1:62" x14ac:dyDescent="0.25">
      <c r="A68" s="8">
        <v>14650</v>
      </c>
      <c r="B68" s="8" t="s">
        <v>123</v>
      </c>
      <c r="C68" s="8" t="s">
        <v>23</v>
      </c>
      <c r="D68" s="29" t="s">
        <v>2</v>
      </c>
      <c r="E68" s="291"/>
      <c r="F68" s="292" t="s">
        <v>288</v>
      </c>
      <c r="G68" s="293" t="s">
        <v>287</v>
      </c>
      <c r="H68" s="294">
        <f>'App 7 - HH &amp; Capita'!G69</f>
        <v>8.1429482774223203</v>
      </c>
      <c r="I68" s="291"/>
      <c r="J68" s="295" t="s">
        <v>288</v>
      </c>
      <c r="K68" s="296" t="s">
        <v>287</v>
      </c>
      <c r="L68" s="297">
        <f>'App 7 - HH &amp; Capita'!L69</f>
        <v>3.6304045791063588</v>
      </c>
      <c r="M68" s="291"/>
      <c r="N68" s="298"/>
      <c r="O68" s="298"/>
      <c r="P68" s="299"/>
      <c r="Q68" s="300" t="s">
        <v>288</v>
      </c>
      <c r="R68" s="300" t="s">
        <v>289</v>
      </c>
      <c r="S68" s="301">
        <v>8.5324216893426001</v>
      </c>
      <c r="T68" s="291"/>
      <c r="U68" s="302">
        <f t="shared" ref="U68:U131" si="31">H68+L68+P68+S68</f>
        <v>20.30577454587128</v>
      </c>
      <c r="V68" s="138">
        <f t="shared" si="1"/>
        <v>4</v>
      </c>
      <c r="W68" s="303">
        <f>'App 3 - Recycling Rate'!S69</f>
        <v>0.54241491178608203</v>
      </c>
      <c r="Z68" s="595" t="s">
        <v>0</v>
      </c>
      <c r="AB68" s="596">
        <f>SUM(AB53:AB66)</f>
        <v>27</v>
      </c>
      <c r="AC68" s="597"/>
      <c r="AD68" s="597"/>
      <c r="AE68" s="596">
        <f>SUM(AE53:AE66)</f>
        <v>5</v>
      </c>
      <c r="AF68" s="597"/>
      <c r="AG68" s="597"/>
      <c r="AH68" s="596">
        <f>SUM(AH53:AH66)</f>
        <v>8</v>
      </c>
      <c r="AI68" s="597"/>
      <c r="AJ68" s="597"/>
      <c r="AK68" s="596">
        <f>SUM(AK53:AK64)+AK66</f>
        <v>126</v>
      </c>
      <c r="AL68" s="597"/>
      <c r="AM68" s="597"/>
      <c r="AR68" s="592"/>
      <c r="BH68" s="119"/>
      <c r="BI68" s="119"/>
      <c r="BJ68" s="119"/>
    </row>
    <row r="69" spans="1:62" x14ac:dyDescent="0.25">
      <c r="A69" s="8">
        <v>14700</v>
      </c>
      <c r="B69" s="8" t="s">
        <v>52</v>
      </c>
      <c r="C69" s="8" t="s">
        <v>24</v>
      </c>
      <c r="D69" s="29" t="s">
        <v>2</v>
      </c>
      <c r="E69" s="291"/>
      <c r="F69" s="292" t="s">
        <v>288</v>
      </c>
      <c r="G69" s="293" t="s">
        <v>289</v>
      </c>
      <c r="H69" s="294">
        <f>'App 7 - HH &amp; Capita'!G70</f>
        <v>7.5146733417590017</v>
      </c>
      <c r="I69" s="291"/>
      <c r="J69" s="295" t="s">
        <v>290</v>
      </c>
      <c r="K69" s="296" t="s">
        <v>287</v>
      </c>
      <c r="L69" s="297">
        <f>'App 7 - HH &amp; Capita'!L70</f>
        <v>2.7463996629732792</v>
      </c>
      <c r="M69" s="291"/>
      <c r="N69" s="298" t="s">
        <v>288</v>
      </c>
      <c r="O69" s="298" t="s">
        <v>287</v>
      </c>
      <c r="P69" s="299">
        <v>9.7897729842174286</v>
      </c>
      <c r="Q69" s="300"/>
      <c r="R69" s="300"/>
      <c r="S69" s="301"/>
      <c r="T69" s="291"/>
      <c r="U69" s="302">
        <f t="shared" si="31"/>
        <v>20.05084598894971</v>
      </c>
      <c r="V69" s="138">
        <f t="shared" ref="V69:V131" si="32">IF(AND(F69&lt;&gt;"",J69="",N69="",Q69=""),1,
IF(AND(F69&lt;&gt;"",J69&lt;&gt;"",N69="",Q69=""),2,
IF(AND(F69&lt;&gt;"",J69&lt;&gt;"",N69&lt;&gt;"",Q69=""),3,
IF(AND(F69&lt;&gt;"",J69&lt;&gt;"",N69="",Q69&lt;&gt;""),4,
IF(AND(F69&lt;&gt;"",J69&lt;&gt;"",N69&lt;&gt;"",Q69&lt;&gt;""),5,
)
))))</f>
        <v>3</v>
      </c>
      <c r="W69" s="303">
        <f>'App 3 - Recycling Rate'!S70</f>
        <v>0.51058306490003436</v>
      </c>
      <c r="AK69" s="598">
        <f>SUM(AB68:AH68)</f>
        <v>40</v>
      </c>
      <c r="AR69" s="592"/>
      <c r="BH69" s="119"/>
      <c r="BI69" s="119"/>
      <c r="BJ69" s="119"/>
    </row>
    <row r="70" spans="1:62" x14ac:dyDescent="0.25">
      <c r="A70" s="8">
        <v>14750</v>
      </c>
      <c r="B70" s="8" t="s">
        <v>124</v>
      </c>
      <c r="C70" s="8" t="s">
        <v>68</v>
      </c>
      <c r="D70" s="29" t="s">
        <v>1</v>
      </c>
      <c r="E70" s="291"/>
      <c r="F70" s="292" t="s">
        <v>288</v>
      </c>
      <c r="G70" s="293" t="s">
        <v>289</v>
      </c>
      <c r="H70" s="294">
        <f>'App 7 - HH &amp; Capita'!G71</f>
        <v>13.139346162763738</v>
      </c>
      <c r="I70" s="291"/>
      <c r="J70" s="295" t="s">
        <v>288</v>
      </c>
      <c r="K70" s="296" t="s">
        <v>287</v>
      </c>
      <c r="L70" s="297">
        <f>'App 7 - HH &amp; Capita'!L71</f>
        <v>2.455202705329032</v>
      </c>
      <c r="M70" s="291"/>
      <c r="N70" s="298"/>
      <c r="O70" s="298"/>
      <c r="P70" s="299"/>
      <c r="Q70" s="300"/>
      <c r="R70" s="300"/>
      <c r="S70" s="301"/>
      <c r="T70" s="291"/>
      <c r="U70" s="302">
        <f t="shared" si="31"/>
        <v>15.594548868092771</v>
      </c>
      <c r="V70" s="138">
        <f t="shared" si="32"/>
        <v>2</v>
      </c>
      <c r="W70" s="303">
        <f>'App 3 - Recycling Rate'!S71</f>
        <v>0.32573140749846335</v>
      </c>
    </row>
    <row r="71" spans="1:62" x14ac:dyDescent="0.25">
      <c r="A71" s="8">
        <v>14850</v>
      </c>
      <c r="B71" s="8" t="s">
        <v>125</v>
      </c>
      <c r="C71" s="8" t="s">
        <v>19</v>
      </c>
      <c r="D71" s="29" t="s">
        <v>3</v>
      </c>
      <c r="E71" s="291"/>
      <c r="F71" s="292" t="s">
        <v>286</v>
      </c>
      <c r="G71" s="293" t="s">
        <v>287</v>
      </c>
      <c r="H71" s="294">
        <f>'App 7 - HH &amp; Capita'!G72</f>
        <v>8.3742784266344472</v>
      </c>
      <c r="I71" s="291"/>
      <c r="J71" s="295" t="s">
        <v>291</v>
      </c>
      <c r="K71" s="296" t="s">
        <v>287</v>
      </c>
      <c r="L71" s="297">
        <f>'App 7 - HH &amp; Capita'!L72</f>
        <v>3.7007750262762396</v>
      </c>
      <c r="M71" s="291"/>
      <c r="N71" s="298"/>
      <c r="O71" s="298"/>
      <c r="P71" s="299"/>
      <c r="Q71" s="300" t="s">
        <v>288</v>
      </c>
      <c r="R71" s="300" t="s">
        <v>289</v>
      </c>
      <c r="S71" s="301"/>
      <c r="T71" s="291"/>
      <c r="U71" s="302">
        <f t="shared" si="31"/>
        <v>12.075053452910687</v>
      </c>
      <c r="V71" s="138">
        <f t="shared" si="32"/>
        <v>4</v>
      </c>
      <c r="W71" s="303">
        <f>'App 3 - Recycling Rate'!S72</f>
        <v>0.70225021131909104</v>
      </c>
      <c r="Z71" s="610"/>
      <c r="AA71" s="610"/>
      <c r="AB71" s="610"/>
      <c r="AC71" s="610"/>
      <c r="AD71" s="610"/>
      <c r="AE71" s="610"/>
      <c r="AF71" s="610"/>
      <c r="AG71" s="610"/>
      <c r="AH71" s="610"/>
      <c r="AI71" s="610"/>
      <c r="AJ71" s="610"/>
      <c r="AK71" s="610"/>
      <c r="AL71" s="610"/>
      <c r="AM71" s="610"/>
      <c r="AN71" s="610"/>
      <c r="AO71" s="610"/>
      <c r="AP71" s="610"/>
    </row>
    <row r="72" spans="1:62" x14ac:dyDescent="0.25">
      <c r="A72" s="8">
        <v>14870</v>
      </c>
      <c r="B72" s="8" t="s">
        <v>126</v>
      </c>
      <c r="C72" s="8" t="s">
        <v>38</v>
      </c>
      <c r="D72" s="29" t="s">
        <v>1</v>
      </c>
      <c r="E72" s="291"/>
      <c r="F72" s="292" t="s">
        <v>288</v>
      </c>
      <c r="G72" s="293" t="s">
        <v>289</v>
      </c>
      <c r="H72" s="294">
        <f>'App 7 - HH &amp; Capita'!G73</f>
        <v>13.885453596064528</v>
      </c>
      <c r="I72" s="291"/>
      <c r="J72" s="295" t="s">
        <v>288</v>
      </c>
      <c r="K72" s="296" t="s">
        <v>287</v>
      </c>
      <c r="L72" s="297">
        <f>'App 7 - HH &amp; Capita'!L73</f>
        <v>2.512344152215535</v>
      </c>
      <c r="M72" s="291"/>
      <c r="N72" s="298"/>
      <c r="O72" s="298"/>
      <c r="P72" s="299"/>
      <c r="Q72" s="300"/>
      <c r="R72" s="300"/>
      <c r="S72" s="301"/>
      <c r="T72" s="291"/>
      <c r="U72" s="302">
        <f t="shared" si="31"/>
        <v>16.397797748280063</v>
      </c>
      <c r="V72" s="138">
        <f t="shared" si="32"/>
        <v>2</v>
      </c>
      <c r="W72" s="303">
        <f>'App 3 - Recycling Rate'!S73</f>
        <v>0.22968958795090469</v>
      </c>
      <c r="Z72" s="782" t="s">
        <v>427</v>
      </c>
      <c r="AA72" s="782"/>
      <c r="AB72" s="782"/>
      <c r="AC72" s="782"/>
      <c r="AD72" s="782"/>
      <c r="AE72" s="782"/>
      <c r="AF72" s="782"/>
      <c r="AG72" s="782"/>
      <c r="AH72" s="782"/>
      <c r="AI72" s="782"/>
      <c r="AJ72" s="782"/>
      <c r="AK72" s="782"/>
      <c r="AL72" s="782"/>
      <c r="AM72" s="782"/>
      <c r="AN72" s="782"/>
      <c r="AO72" s="782"/>
      <c r="AP72" s="782"/>
      <c r="AQ72" s="576"/>
    </row>
    <row r="73" spans="1:62" x14ac:dyDescent="0.25">
      <c r="A73" s="8">
        <v>14900</v>
      </c>
      <c r="B73" s="8" t="s">
        <v>53</v>
      </c>
      <c r="C73" s="8" t="s">
        <v>18</v>
      </c>
      <c r="D73" s="29" t="s">
        <v>2</v>
      </c>
      <c r="E73" s="291"/>
      <c r="F73" s="292" t="s">
        <v>288</v>
      </c>
      <c r="G73" s="293" t="s">
        <v>289</v>
      </c>
      <c r="H73" s="294">
        <f>'App 7 - HH &amp; Capita'!G74</f>
        <v>13.839436150135047</v>
      </c>
      <c r="I73" s="291"/>
      <c r="J73" s="295" t="s">
        <v>288</v>
      </c>
      <c r="K73" s="296" t="s">
        <v>287</v>
      </c>
      <c r="L73" s="297">
        <f>'App 7 - HH &amp; Capita'!L74</f>
        <v>3.8645654930709492</v>
      </c>
      <c r="M73" s="291"/>
      <c r="N73" s="298" t="s">
        <v>288</v>
      </c>
      <c r="O73" s="298" t="s">
        <v>287</v>
      </c>
      <c r="P73" s="299">
        <v>6.6769366474430001</v>
      </c>
      <c r="Q73" s="300"/>
      <c r="R73" s="300"/>
      <c r="S73" s="301"/>
      <c r="T73" s="291"/>
      <c r="U73" s="302">
        <f t="shared" si="31"/>
        <v>24.380938290648995</v>
      </c>
      <c r="V73" s="138">
        <f t="shared" si="32"/>
        <v>3</v>
      </c>
      <c r="W73" s="303">
        <f>'App 3 - Recycling Rate'!S74</f>
        <v>0.36960719992780278</v>
      </c>
      <c r="Z73" s="576"/>
      <c r="AA73" s="576"/>
      <c r="AB73" s="783" t="s">
        <v>458</v>
      </c>
      <c r="AC73" s="783"/>
      <c r="AD73" s="783"/>
      <c r="AE73" s="783" t="s">
        <v>460</v>
      </c>
      <c r="AF73" s="783"/>
      <c r="AG73" s="783"/>
      <c r="AH73" s="783" t="s">
        <v>463</v>
      </c>
      <c r="AI73" s="783"/>
      <c r="AJ73" s="783"/>
      <c r="AK73" s="783" t="s">
        <v>7</v>
      </c>
      <c r="AL73" s="783"/>
      <c r="AM73" s="783"/>
      <c r="AO73" s="781" t="s">
        <v>426</v>
      </c>
      <c r="AP73" s="781"/>
      <c r="AQ73" s="781"/>
      <c r="AR73" s="394"/>
      <c r="BH73" s="119"/>
      <c r="BI73" s="119"/>
      <c r="BJ73" s="119"/>
    </row>
    <row r="74" spans="1:62" x14ac:dyDescent="0.25">
      <c r="A74" s="8">
        <v>14920</v>
      </c>
      <c r="B74" s="8" t="s">
        <v>127</v>
      </c>
      <c r="C74" s="8" t="s">
        <v>16</v>
      </c>
      <c r="D74" s="29" t="s">
        <v>1</v>
      </c>
      <c r="E74" s="291"/>
      <c r="F74" s="292" t="s">
        <v>288</v>
      </c>
      <c r="G74" s="293" t="s">
        <v>289</v>
      </c>
      <c r="H74" s="294">
        <f>'App 7 - HH &amp; Capita'!G75</f>
        <v>18.97058823529412</v>
      </c>
      <c r="I74" s="291"/>
      <c r="J74" s="295" t="s">
        <v>288</v>
      </c>
      <c r="K74" s="296" t="s">
        <v>289</v>
      </c>
      <c r="L74" s="297">
        <f>'App 7 - HH &amp; Capita'!L75</f>
        <v>4.9660633484162897</v>
      </c>
      <c r="M74" s="291"/>
      <c r="N74" s="298"/>
      <c r="O74" s="298"/>
      <c r="P74" s="299"/>
      <c r="Q74" s="300"/>
      <c r="R74" s="300"/>
      <c r="S74" s="301"/>
      <c r="T74" s="291"/>
      <c r="U74" s="302">
        <f t="shared" si="31"/>
        <v>23.936651583710407</v>
      </c>
      <c r="V74" s="138">
        <f t="shared" si="32"/>
        <v>2</v>
      </c>
      <c r="W74" s="303">
        <f>'App 3 - Recycling Rate'!S75</f>
        <v>0.14869653298618093</v>
      </c>
      <c r="Z74" s="607"/>
      <c r="AA74" s="607"/>
      <c r="AB74" s="780" t="s">
        <v>1</v>
      </c>
      <c r="AC74" s="779" t="s">
        <v>412</v>
      </c>
      <c r="AD74" s="779"/>
      <c r="AE74" s="780" t="s">
        <v>1</v>
      </c>
      <c r="AF74" s="779" t="s">
        <v>412</v>
      </c>
      <c r="AG74" s="779"/>
      <c r="AH74" s="780" t="s">
        <v>1</v>
      </c>
      <c r="AI74" s="779" t="s">
        <v>412</v>
      </c>
      <c r="AJ74" s="779"/>
      <c r="AK74" s="780" t="s">
        <v>1</v>
      </c>
      <c r="AL74" s="779" t="s">
        <v>412</v>
      </c>
      <c r="AM74" s="779"/>
      <c r="AO74" s="579" t="s">
        <v>285</v>
      </c>
      <c r="AP74" s="579" t="s">
        <v>280</v>
      </c>
      <c r="AQ74" s="579" t="s">
        <v>282</v>
      </c>
      <c r="AR74" s="580" t="s">
        <v>26</v>
      </c>
      <c r="BH74" s="119"/>
      <c r="BI74" s="119"/>
      <c r="BJ74" s="119"/>
    </row>
    <row r="75" spans="1:62" x14ac:dyDescent="0.25">
      <c r="A75" s="8">
        <v>14950</v>
      </c>
      <c r="B75" s="8" t="s">
        <v>128</v>
      </c>
      <c r="C75" s="8" t="s">
        <v>21</v>
      </c>
      <c r="D75" s="29" t="s">
        <v>1</v>
      </c>
      <c r="E75" s="291"/>
      <c r="F75" s="292" t="s">
        <v>288</v>
      </c>
      <c r="G75" s="293" t="s">
        <v>287</v>
      </c>
      <c r="H75" s="294">
        <f>'App 7 - HH &amp; Capita'!G76</f>
        <v>3.7313432835820897</v>
      </c>
      <c r="I75" s="291"/>
      <c r="J75" s="295" t="s">
        <v>288</v>
      </c>
      <c r="K75" s="296" t="s">
        <v>289</v>
      </c>
      <c r="L75" s="297">
        <f>'App 7 - HH &amp; Capita'!L76</f>
        <v>1.2198622273249138</v>
      </c>
      <c r="M75" s="291"/>
      <c r="N75" s="298"/>
      <c r="O75" s="298"/>
      <c r="P75" s="299"/>
      <c r="Q75" s="300" t="s">
        <v>288</v>
      </c>
      <c r="R75" s="300" t="s">
        <v>289</v>
      </c>
      <c r="S75" s="301">
        <v>2.5545351722157998</v>
      </c>
      <c r="T75" s="291"/>
      <c r="U75" s="302">
        <f t="shared" si="31"/>
        <v>7.505740683122804</v>
      </c>
      <c r="V75" s="138">
        <f t="shared" si="32"/>
        <v>4</v>
      </c>
      <c r="W75" s="303">
        <f>'App 3 - Recycling Rate'!S76</f>
        <v>0.54984894259818728</v>
      </c>
      <c r="Z75" s="608" t="s">
        <v>285</v>
      </c>
      <c r="AA75" s="608" t="s">
        <v>280</v>
      </c>
      <c r="AB75" s="780"/>
      <c r="AC75" s="608" t="s">
        <v>376</v>
      </c>
      <c r="AD75" s="608" t="s">
        <v>282</v>
      </c>
      <c r="AE75" s="780"/>
      <c r="AF75" s="608" t="s">
        <v>376</v>
      </c>
      <c r="AG75" s="608" t="s">
        <v>282</v>
      </c>
      <c r="AH75" s="780"/>
      <c r="AI75" s="608" t="s">
        <v>376</v>
      </c>
      <c r="AJ75" s="608" t="s">
        <v>282</v>
      </c>
      <c r="AK75" s="780"/>
      <c r="AL75" s="608" t="s">
        <v>376</v>
      </c>
      <c r="AM75" s="608" t="s">
        <v>282</v>
      </c>
      <c r="AN75" s="582"/>
      <c r="AO75" s="604" t="s">
        <v>288</v>
      </c>
      <c r="AP75" s="604" t="s">
        <v>289</v>
      </c>
      <c r="AQ75" s="605">
        <f>AM78</f>
        <v>6.6042242864400444</v>
      </c>
      <c r="AR75" s="606">
        <f>AK78</f>
        <v>32</v>
      </c>
      <c r="BH75" s="119"/>
      <c r="BI75" s="119"/>
      <c r="BJ75" s="119"/>
    </row>
    <row r="76" spans="1:62" x14ac:dyDescent="0.25">
      <c r="A76" s="8">
        <v>15050</v>
      </c>
      <c r="B76" s="8" t="s">
        <v>129</v>
      </c>
      <c r="C76" s="8" t="s">
        <v>23</v>
      </c>
      <c r="D76" s="29" t="s">
        <v>2</v>
      </c>
      <c r="E76" s="291"/>
      <c r="F76" s="292" t="s">
        <v>288</v>
      </c>
      <c r="G76" s="293" t="s">
        <v>289</v>
      </c>
      <c r="H76" s="294">
        <f>'App 7 - HH &amp; Capita'!G77</f>
        <v>13.826040839743033</v>
      </c>
      <c r="I76" s="291"/>
      <c r="J76" s="295" t="s">
        <v>288</v>
      </c>
      <c r="K76" s="296" t="s">
        <v>287</v>
      </c>
      <c r="L76" s="297">
        <f>'App 7 - HH &amp; Capita'!L77</f>
        <v>3.1527109753195957</v>
      </c>
      <c r="M76" s="291"/>
      <c r="N76" s="298" t="s">
        <v>288</v>
      </c>
      <c r="O76" s="298" t="s">
        <v>287</v>
      </c>
      <c r="P76" s="299">
        <v>5.7427747721342</v>
      </c>
      <c r="Q76" s="300"/>
      <c r="R76" s="300"/>
      <c r="S76" s="301"/>
      <c r="T76" s="291"/>
      <c r="U76" s="302">
        <f t="shared" si="31"/>
        <v>22.721526587196831</v>
      </c>
      <c r="V76" s="138">
        <f t="shared" si="32"/>
        <v>3</v>
      </c>
      <c r="W76" s="303">
        <f>'App 3 - Recycling Rate'!S77</f>
        <v>0.38175071704994867</v>
      </c>
      <c r="Y76" s="376" t="str">
        <f t="shared" ref="Y76:Y87" si="33">Z76&amp;"I"&amp;AA76</f>
        <v>120LIWeekly</v>
      </c>
      <c r="Z76" s="604" t="s">
        <v>290</v>
      </c>
      <c r="AA76" s="604" t="s">
        <v>289</v>
      </c>
      <c r="AB76" s="609" cm="1">
        <f t="array" ref="AB76">SUMPRODUCT(--($Q$4:$Q$131="120L")*--($R$4:$R$131="Weekly")*--($D$4:$D$131="S")*--($S$4:$S$131&gt;0))</f>
        <v>0</v>
      </c>
      <c r="AC76" s="609" cm="1">
        <f t="array" ref="AC76">SUMPRODUCT(--($Q$4:$Q$131="120L")*--($R$4:$R$131="Weekly")*--($D$4:$D$131="S"),$S$4:$S$131)</f>
        <v>0</v>
      </c>
      <c r="AD76" s="606"/>
      <c r="AE76" s="609" cm="1">
        <f t="array" ref="AE76">SUMPRODUCT(--($Q$4:$Q$131="120L")*--($R$4:$R$131="Weekly")*--($D$4:$D$131="R")*--($S$4:$S$131&gt;0))</f>
        <v>0</v>
      </c>
      <c r="AF76" s="609" cm="1">
        <f t="array" ref="AF76">SUMPRODUCT(--($Q$4:$Q$131="120L")*--($R$4:$R$131="Weekly")*--($D$4:$D$131="R"),($S$4:$S$131))</f>
        <v>0</v>
      </c>
      <c r="AG76" s="606"/>
      <c r="AH76" s="609" cm="1">
        <f t="array" ref="AH76">SUMPRODUCT(--($Q$4:$Q$131="120L")*--($R$4:$R$131="Weekly")*--($D$4:$D$131="N")*--($S$4:$S$131&gt;0))</f>
        <v>0</v>
      </c>
      <c r="AI76" s="609" cm="1">
        <f t="array" ref="AI76">SUMPRODUCT(--($Q$4:$Q$131="120L")*--($R$4:$R$131="Weekly")*--($D$4:$D$131="N"),($S$4:$S$131))</f>
        <v>0</v>
      </c>
      <c r="AJ76" s="606"/>
      <c r="AK76" s="609" cm="1">
        <f t="array" ref="AK76">SUMPRODUCT(--($Q$4:$Q$131="120L")*--($R$4:$R$131="Weekly"))</f>
        <v>0</v>
      </c>
      <c r="AL76" s="606" cm="1">
        <f t="array" ref="AL76">SUMPRODUCT(--($Q$4:$Q$131="120L")*--($R$4:$R$131="Weekly")*--($S$4:$S$131))</f>
        <v>0</v>
      </c>
      <c r="AM76" s="604"/>
      <c r="AN76" s="582"/>
      <c r="AO76" s="604" t="s">
        <v>288</v>
      </c>
      <c r="AP76" s="604" t="s">
        <v>414</v>
      </c>
      <c r="AQ76" s="605">
        <f>AM84</f>
        <v>5.6582779388807261</v>
      </c>
      <c r="AR76" s="606">
        <f>AK84</f>
        <v>12</v>
      </c>
      <c r="BH76" s="119"/>
      <c r="BI76" s="119"/>
      <c r="BJ76" s="119"/>
    </row>
    <row r="77" spans="1:62" x14ac:dyDescent="0.25">
      <c r="A77" s="8">
        <v>15240</v>
      </c>
      <c r="B77" s="8" t="s">
        <v>130</v>
      </c>
      <c r="C77" s="8" t="s">
        <v>39</v>
      </c>
      <c r="D77" s="29" t="s">
        <v>3</v>
      </c>
      <c r="E77" s="291"/>
      <c r="F77" s="292" t="s">
        <v>288</v>
      </c>
      <c r="G77" s="293" t="s">
        <v>289</v>
      </c>
      <c r="H77" s="294">
        <f>'App 7 - HH &amp; Capita'!G78</f>
        <v>9.0397390839916127</v>
      </c>
      <c r="I77" s="291"/>
      <c r="J77" s="295" t="s">
        <v>288</v>
      </c>
      <c r="K77" s="296" t="s">
        <v>287</v>
      </c>
      <c r="L77" s="297">
        <f>'App 7 - HH &amp; Capita'!L78</f>
        <v>3.3291113081389536</v>
      </c>
      <c r="M77" s="291"/>
      <c r="N77" s="298" t="s">
        <v>288</v>
      </c>
      <c r="O77" s="298" t="s">
        <v>287</v>
      </c>
      <c r="P77" s="299">
        <v>5.13613536135</v>
      </c>
      <c r="Q77" s="300"/>
      <c r="R77" s="300"/>
      <c r="S77" s="301"/>
      <c r="T77" s="291"/>
      <c r="U77" s="302">
        <f t="shared" si="31"/>
        <v>17.504985753480568</v>
      </c>
      <c r="V77" s="138">
        <f t="shared" si="32"/>
        <v>3</v>
      </c>
      <c r="W77" s="303">
        <f>'App 3 - Recycling Rate'!S78</f>
        <v>0.46809044841266401</v>
      </c>
      <c r="Y77" s="376" t="str">
        <f t="shared" si="33"/>
        <v>140LIWeekly</v>
      </c>
      <c r="Z77" s="604" t="s">
        <v>286</v>
      </c>
      <c r="AA77" s="604" t="s">
        <v>289</v>
      </c>
      <c r="AB77" s="609" cm="1">
        <f t="array" ref="AB77">SUMPRODUCT(--($Q$4:$Q$131="140L")*--($R$4:$R$131="Weekly")*--($D$4:$D$131="S")*--($S$4:$S$131&gt;0))</f>
        <v>0</v>
      </c>
      <c r="AC77" s="609" cm="1">
        <f t="array" ref="AC77">SUMPRODUCT(--($Q$4:$Q$131="140L")*--($R$4:$R$131="Weekly")*--($D$4:$D$131="S"),$S$4:$S$131)</f>
        <v>0</v>
      </c>
      <c r="AD77" s="606"/>
      <c r="AE77" s="609" cm="1">
        <f t="array" ref="AE77">SUMPRODUCT(--($Q$4:$Q$131="140L")*--($R$4:$R$131="Weekly")*--($D$4:$D$131="R")*--($S$4:$S$131&gt;0))</f>
        <v>0</v>
      </c>
      <c r="AF77" s="609" cm="1">
        <f t="array" ref="AF77">SUMPRODUCT(--($Q$4:$Q$131="140L")*--($R$4:$R$131="Weekly")*--($D$4:$D$131="R"),$S$4:$S$131)</f>
        <v>0</v>
      </c>
      <c r="AG77" s="606"/>
      <c r="AH77" s="609" cm="1">
        <f t="array" ref="AH77">SUMPRODUCT(--($Q$4:$Q$131="140L")*--($R$4:$R$131="Weekly")*--($D$4:$D$131="N")*--($S$4:$S$131&gt;0))</f>
        <v>0</v>
      </c>
      <c r="AI77" s="609" cm="1">
        <f t="array" ref="AI77">SUMPRODUCT(--($Q$4:$Q$131="140L")*--($R$4:$R$131="Weekly")*--($D$4:$D$131="N"),$S$4:$S$131)</f>
        <v>0</v>
      </c>
      <c r="AJ77" s="606"/>
      <c r="AK77" s="609" cm="1">
        <f t="array" ref="AK77">SUMPRODUCT(--($Q$4:$Q$131="140L")*--($R$4:$R$131="Weekly"))</f>
        <v>0</v>
      </c>
      <c r="AL77" s="606" cm="1">
        <f t="array" ref="AL77">SUMPRODUCT(--($Q$4:$Q$131="140L")*--($R$4:$R$131="Weekly")*--($S$4:$S$131))</f>
        <v>0</v>
      </c>
      <c r="AM77" s="604"/>
      <c r="AN77" s="582"/>
      <c r="AO77" s="604" t="s">
        <v>290</v>
      </c>
      <c r="AP77" s="604" t="s">
        <v>289</v>
      </c>
      <c r="AQ77" s="605"/>
      <c r="AR77" s="606">
        <v>0</v>
      </c>
      <c r="BH77" s="119"/>
      <c r="BI77" s="119"/>
      <c r="BJ77" s="119"/>
    </row>
    <row r="78" spans="1:62" x14ac:dyDescent="0.25">
      <c r="A78" s="8">
        <v>15270</v>
      </c>
      <c r="B78" s="8" t="s">
        <v>131</v>
      </c>
      <c r="C78" s="8" t="s">
        <v>38</v>
      </c>
      <c r="D78" s="29" t="s">
        <v>1</v>
      </c>
      <c r="E78" s="291"/>
      <c r="F78" s="292" t="s">
        <v>288</v>
      </c>
      <c r="G78" s="293" t="s">
        <v>419</v>
      </c>
      <c r="H78" s="294">
        <f>'App 7 - HH &amp; Capita'!G79</f>
        <v>8.5960782877082433</v>
      </c>
      <c r="I78" s="291"/>
      <c r="J78" s="295" t="s">
        <v>288</v>
      </c>
      <c r="K78" s="296" t="s">
        <v>287</v>
      </c>
      <c r="L78" s="297">
        <f>'App 7 - HH &amp; Capita'!L79</f>
        <v>1.1550825647741947</v>
      </c>
      <c r="M78" s="291"/>
      <c r="N78" s="298"/>
      <c r="O78" s="298"/>
      <c r="P78" s="299"/>
      <c r="Q78" s="300" t="s">
        <v>288</v>
      </c>
      <c r="R78" s="300" t="s">
        <v>289</v>
      </c>
      <c r="S78" s="301">
        <v>5.2393142471910004</v>
      </c>
      <c r="T78" s="291"/>
      <c r="U78" s="302">
        <f t="shared" si="31"/>
        <v>14.990475099673439</v>
      </c>
      <c r="V78" s="138">
        <f t="shared" si="32"/>
        <v>4</v>
      </c>
      <c r="W78" s="303">
        <f>'App 3 - Recycling Rate'!S79</f>
        <v>0.31938663704933606</v>
      </c>
      <c r="Y78" s="376" t="str">
        <f t="shared" si="33"/>
        <v>240LIWeekly</v>
      </c>
      <c r="Z78" s="604" t="s">
        <v>288</v>
      </c>
      <c r="AA78" s="604" t="s">
        <v>289</v>
      </c>
      <c r="AB78" s="609" cm="1">
        <f t="array" ref="AB78">SUMPRODUCT(--($Q$4:$Q$131="240L")*--($R$4:$R$131="Weekly")*--($D$4:$D$131="S")*--($S$4:$S$131&gt;0))</f>
        <v>7</v>
      </c>
      <c r="AC78" s="609" cm="1">
        <f t="array" ref="AC78">SUMPRODUCT(--($Q$4:$Q$131="240L")*--($R$4:$R$131="Weekly")*--($D$4:$D$131="S"),$S$4:$S$131)</f>
        <v>49.337673377107222</v>
      </c>
      <c r="AD78" s="606">
        <f>AC78/AB78</f>
        <v>7.04823905387246</v>
      </c>
      <c r="AE78" s="609" cm="1">
        <f t="array" ref="AE78">SUMPRODUCT(--($Q$4:$Q$131="240L")*--($R$4:$R$131="Weekly")*--($D$4:$D$131="R")*--($S$4:$S$131&gt;0))</f>
        <v>10</v>
      </c>
      <c r="AF78" s="609" cm="1">
        <f t="array" ref="AF78">SUMPRODUCT(--($Q$4:$Q$131="240L")*--($R$4:$R$131="Weekly")*--($D$4:$D$131="R"),$S$4:$S$131)</f>
        <v>82.956104460503113</v>
      </c>
      <c r="AG78" s="606"/>
      <c r="AH78" s="609" cm="1">
        <f t="array" ref="AH78">SUMPRODUCT(--($Q$4:$Q$131="240L")*--($R$4:$R$131="Weekly")*--($D$4:$D$131="N")*--($S$4:$S$131&gt;0))</f>
        <v>12</v>
      </c>
      <c r="AI78" s="609" cm="1">
        <f t="array" ref="AI78">SUMPRODUCT(--($Q$4:$Q$131="240L")*--($R$4:$R$131="Weekly")*--($D$4:$D$131="N"),$S$4:$S$131)</f>
        <v>79.041399328471101</v>
      </c>
      <c r="AJ78" s="606"/>
      <c r="AK78" s="609" cm="1">
        <f t="array" ref="AK78">SUMPRODUCT(--($Q$4:$Q$131="240L")*--($R$4:$R$131="Weekly"))</f>
        <v>32</v>
      </c>
      <c r="AL78" s="606" cm="1">
        <f t="array" ref="AL78">SUMPRODUCT(--($Q$4:$Q$131="240L")*--($R$4:$R$131="Weekly")*--($S$4:$S$131))</f>
        <v>211.33517716608142</v>
      </c>
      <c r="AM78" s="604">
        <f>AL78/AK78</f>
        <v>6.6042242864400444</v>
      </c>
      <c r="AN78" s="582"/>
      <c r="AO78" s="604" t="s">
        <v>286</v>
      </c>
      <c r="AP78" s="604" t="s">
        <v>289</v>
      </c>
      <c r="AQ78" s="605"/>
      <c r="AR78" s="606">
        <v>0</v>
      </c>
      <c r="BH78" s="119"/>
      <c r="BI78" s="119"/>
      <c r="BJ78" s="119"/>
    </row>
    <row r="79" spans="1:62" x14ac:dyDescent="0.25">
      <c r="A79" s="8">
        <v>15300</v>
      </c>
      <c r="B79" s="8" t="s">
        <v>132</v>
      </c>
      <c r="C79" s="8" t="s">
        <v>16</v>
      </c>
      <c r="D79" s="29" t="s">
        <v>1</v>
      </c>
      <c r="E79" s="291"/>
      <c r="F79" s="292" t="s">
        <v>286</v>
      </c>
      <c r="G79" s="293" t="s">
        <v>289</v>
      </c>
      <c r="H79" s="294">
        <f>'App 7 - HH &amp; Capita'!G80</f>
        <v>10.764903110872087</v>
      </c>
      <c r="I79" s="291"/>
      <c r="J79" s="295" t="s">
        <v>288</v>
      </c>
      <c r="K79" s="296" t="s">
        <v>287</v>
      </c>
      <c r="L79" s="297">
        <f>'App 7 - HH &amp; Capita'!L80</f>
        <v>2.5840050419610572</v>
      </c>
      <c r="M79" s="291"/>
      <c r="N79" s="298"/>
      <c r="O79" s="298"/>
      <c r="P79" s="299"/>
      <c r="Q79" s="300" t="s">
        <v>288</v>
      </c>
      <c r="R79" s="300" t="s">
        <v>287</v>
      </c>
      <c r="S79" s="301">
        <v>3.5418732458278011</v>
      </c>
      <c r="T79" s="291"/>
      <c r="U79" s="302">
        <f t="shared" si="31"/>
        <v>16.890781398660945</v>
      </c>
      <c r="V79" s="138">
        <f t="shared" si="32"/>
        <v>4</v>
      </c>
      <c r="W79" s="303">
        <f>'App 3 - Recycling Rate'!S80</f>
        <v>0.36565023861967694</v>
      </c>
      <c r="Y79" s="376" t="str">
        <f t="shared" si="33"/>
        <v>240L Split (W/R)IWeekly</v>
      </c>
      <c r="Z79" s="604" t="s">
        <v>413</v>
      </c>
      <c r="AA79" s="604" t="s">
        <v>289</v>
      </c>
      <c r="AB79" s="609" cm="1">
        <f t="array" ref="AB79">SUMPRODUCT(--($Q$4:$Q$131="240Sp")*--($R$4:$R$131="Weekly")*--($D$4:$D$131="S")*--($S$4:$S$131&gt;0))</f>
        <v>0</v>
      </c>
      <c r="AC79" s="609" cm="1">
        <f t="array" ref="AC79">SUMPRODUCT(--($Q$4:$Q$131="240Sp")*--($R$4:$R$131="Weekly")*--($D$4:$D$131="S"),$S$4:$S$131)</f>
        <v>0</v>
      </c>
      <c r="AD79" s="606"/>
      <c r="AE79" s="609" cm="1">
        <f t="array" ref="AE79">SUMPRODUCT(--($Q$4:$Q$131="240Sp")*--($R$4:$R$131="Weekly")*--($D$4:$D$131="R")*--($S$4:$S$131&gt;0))</f>
        <v>0</v>
      </c>
      <c r="AF79" s="609" cm="1">
        <f t="array" ref="AF79">SUMPRODUCT(--($Q$4:$Q$131="240Sp")*--($R$4:$R$131="Weekly")*--($D$4:$D$131="R"),$S$4:$S$131)</f>
        <v>0</v>
      </c>
      <c r="AG79" s="606"/>
      <c r="AH79" s="609" cm="1">
        <f t="array" ref="AH79">SUMPRODUCT(--($Q$4:$Q$131="240Sp")*--($R$4:$R$131="Weekly")*--($D$4:$D$131="N")*--($S$4:$S$131&gt;0))</f>
        <v>0</v>
      </c>
      <c r="AI79" s="609" cm="1">
        <f t="array" ref="AI79">SUMPRODUCT(--($Q$4:$Q$131="240Sp")*--($R$4:$R$131="Weekly")*--($D$4:$D$131="N"),$S$4:$S$131)</f>
        <v>0</v>
      </c>
      <c r="AJ79" s="606"/>
      <c r="AK79" s="609" cm="1">
        <f t="array" ref="AK79">SUMPRODUCT(--($Q$4:$Q$131="240Sp")*--($R$4:$R$131="Weekly"))</f>
        <v>0</v>
      </c>
      <c r="AL79" s="606" cm="1">
        <f t="array" ref="AL79">SUMPRODUCT(--($Q$4:$Q$131="240Sp")*--($R$4:$R$131="Weekly")*--($S$4:$S$131))</f>
        <v>0</v>
      </c>
      <c r="AM79" s="604"/>
      <c r="AN79" s="582"/>
      <c r="AO79" s="604" t="s">
        <v>413</v>
      </c>
      <c r="AP79" s="604" t="s">
        <v>289</v>
      </c>
      <c r="AQ79" s="605"/>
      <c r="AR79" s="606">
        <v>0</v>
      </c>
      <c r="BH79" s="119"/>
      <c r="BI79" s="119"/>
      <c r="BJ79" s="119"/>
    </row>
    <row r="80" spans="1:62" x14ac:dyDescent="0.25">
      <c r="A80" s="8">
        <v>15350</v>
      </c>
      <c r="B80" s="8" t="s">
        <v>133</v>
      </c>
      <c r="C80" s="8" t="s">
        <v>24</v>
      </c>
      <c r="D80" s="29" t="s">
        <v>2</v>
      </c>
      <c r="E80" s="291"/>
      <c r="F80" s="292" t="s">
        <v>290</v>
      </c>
      <c r="G80" s="293" t="s">
        <v>289</v>
      </c>
      <c r="H80" s="294">
        <f>'App 7 - HH &amp; Capita'!G81</f>
        <v>8.5090751944684531</v>
      </c>
      <c r="I80" s="291"/>
      <c r="J80" s="295" t="s">
        <v>288</v>
      </c>
      <c r="K80" s="296" t="s">
        <v>287</v>
      </c>
      <c r="L80" s="297">
        <f>'App 7 - HH &amp; Capita'!L81</f>
        <v>3.3102852203975797</v>
      </c>
      <c r="M80" s="291"/>
      <c r="N80" s="298" t="s">
        <v>288</v>
      </c>
      <c r="O80" s="298" t="s">
        <v>293</v>
      </c>
      <c r="P80" s="299">
        <v>2.5525785763469</v>
      </c>
      <c r="Q80" s="300"/>
      <c r="R80" s="300"/>
      <c r="S80" s="301"/>
      <c r="T80" s="291"/>
      <c r="U80" s="302">
        <f t="shared" si="31"/>
        <v>14.371938991212932</v>
      </c>
      <c r="V80" s="138">
        <f t="shared" si="32"/>
        <v>3</v>
      </c>
      <c r="W80" s="303">
        <f>'App 3 - Recycling Rate'!S81</f>
        <v>0.40423153339125917</v>
      </c>
      <c r="Y80" s="376" t="str">
        <f t="shared" si="33"/>
        <v>55LIWeekly</v>
      </c>
      <c r="Z80" s="604" t="s">
        <v>294</v>
      </c>
      <c r="AA80" s="604" t="s">
        <v>289</v>
      </c>
      <c r="AB80" s="609" cm="1">
        <f t="array" ref="AB80">SUMPRODUCT(--($Q$4:$Q$131="55L")*--($R$4:$R$131="Weekly")*--($D$4:$D$131="S")*--($S$4:$S$131&gt;0))</f>
        <v>0</v>
      </c>
      <c r="AC80" s="609" cm="1">
        <f t="array" ref="AC80">SUMPRODUCT(--($Q$4:$Q$131="55L")*--($R$4:$R$131="Weekly")*--($D$4:$D$131="S"),$S$4:$S$131)</f>
        <v>0</v>
      </c>
      <c r="AD80" s="606"/>
      <c r="AE80" s="609" cm="1">
        <f t="array" ref="AE80">SUMPRODUCT(--($Q$4:$Q$131="55L")*--($R$4:$R$131="Weekly")*--($D$4:$D$131="R")*--($S$4:$S$131&gt;0))</f>
        <v>0</v>
      </c>
      <c r="AF80" s="609" cm="1">
        <f t="array" ref="AF80">SUMPRODUCT(--($Q$4:$Q$131="55L")*--($R$4:$R$131="Weekly")*--($D$4:$D$131="R"),$S$4:$S$131)</f>
        <v>0</v>
      </c>
      <c r="AG80" s="606"/>
      <c r="AH80" s="609" cm="1">
        <f t="array" ref="AH80">SUMPRODUCT(--($Q$4:$Q$131="55L")*--($R$4:$R$131="Weekly")*--($D$4:$D$131="N")*--($S$4:$S$131&gt;0))</f>
        <v>0</v>
      </c>
      <c r="AI80" s="609" cm="1">
        <f t="array" ref="AI80">SUMPRODUCT(--($Q$4:$Q$131="55L")*--($R$4:$R$131="Weekly")*--($D$4:$D$131="N"),$S$4:$S$131)</f>
        <v>0</v>
      </c>
      <c r="AJ80" s="606"/>
      <c r="AK80" s="609" cm="1">
        <f t="array" ref="AK80">SUMPRODUCT(--($Q$4:$Q$131="55L")*--($R$4:$R$131="Weekly"))</f>
        <v>0</v>
      </c>
      <c r="AL80" s="606" cm="1">
        <f t="array" ref="AL80">SUMPRODUCT(--($Q$4:$Q$131="55L")*--($R$4:$R$131="Weekly")*--($S$4:$S$131))</f>
        <v>0</v>
      </c>
      <c r="AM80" s="604"/>
      <c r="AN80" s="582"/>
      <c r="AO80" s="604" t="s">
        <v>294</v>
      </c>
      <c r="AP80" s="604" t="s">
        <v>289</v>
      </c>
      <c r="AQ80" s="605"/>
      <c r="AR80" s="606">
        <v>0</v>
      </c>
      <c r="BH80" s="119"/>
      <c r="BI80" s="119"/>
      <c r="BJ80" s="119"/>
    </row>
    <row r="81" spans="1:62" x14ac:dyDescent="0.25">
      <c r="A81" s="8">
        <v>15520</v>
      </c>
      <c r="B81" s="8" t="s">
        <v>134</v>
      </c>
      <c r="C81" s="8" t="s">
        <v>66</v>
      </c>
      <c r="D81" s="29" t="s">
        <v>1</v>
      </c>
      <c r="E81" s="291"/>
      <c r="F81" s="292" t="s">
        <v>286</v>
      </c>
      <c r="G81" s="293" t="s">
        <v>289</v>
      </c>
      <c r="H81" s="294">
        <f>'App 7 - HH &amp; Capita'!G82</f>
        <v>7.7901742023879432</v>
      </c>
      <c r="I81" s="291"/>
      <c r="J81" s="295" t="s">
        <v>288</v>
      </c>
      <c r="K81" s="296" t="s">
        <v>287</v>
      </c>
      <c r="L81" s="297">
        <f>'App 7 - HH &amp; Capita'!L82</f>
        <v>5.956770502225047</v>
      </c>
      <c r="M81" s="291"/>
      <c r="N81" s="298"/>
      <c r="O81" s="298"/>
      <c r="P81" s="299"/>
      <c r="Q81" s="300" t="s">
        <v>288</v>
      </c>
      <c r="R81" s="300" t="s">
        <v>287</v>
      </c>
      <c r="S81" s="301">
        <v>13.377926421447</v>
      </c>
      <c r="T81" s="291"/>
      <c r="U81" s="302">
        <f t="shared" si="31"/>
        <v>27.12487112605999</v>
      </c>
      <c r="V81" s="138">
        <f t="shared" si="32"/>
        <v>4</v>
      </c>
      <c r="W81" s="303">
        <f>'App 3 - Recycling Rate'!S82</f>
        <v>0.60572198446663505</v>
      </c>
      <c r="Y81" s="376" t="str">
        <f t="shared" si="33"/>
        <v>80LIWeekly</v>
      </c>
      <c r="Z81" s="604" t="s">
        <v>292</v>
      </c>
      <c r="AA81" s="604" t="s">
        <v>289</v>
      </c>
      <c r="AB81" s="609" cm="1">
        <f t="array" ref="AB81">SUMPRODUCT(--($Q$4:$Q$131="80L")*--($R$4:$R$131="Weekly")*--($D$4:$D$131="S")*--($S$4:$S$131&gt;0))</f>
        <v>0</v>
      </c>
      <c r="AC81" s="609" cm="1">
        <f t="array" ref="AC81">SUMPRODUCT(--($Q$4:$Q$131="80L")*--($R$4:$R$131="Weekly")*--($D$4:$D$131="S"),$S$4:$S$131)</f>
        <v>0</v>
      </c>
      <c r="AD81" s="606"/>
      <c r="AE81" s="609" cm="1">
        <f t="array" ref="AE81">SUMPRODUCT(--($Q$4:$Q$131="80L")*--($R$4:$R$131="Weekly")*--($D$4:$D$131="R")*--($S$4:$S$131&gt;0))</f>
        <v>0</v>
      </c>
      <c r="AF81" s="609" cm="1">
        <f t="array" ref="AF81">SUMPRODUCT(--($Q$4:$Q$131="80L")*--($R$4:$R$131="Weekly")*--($D$4:$D$131="R"),$S$4:$S$131)</f>
        <v>0</v>
      </c>
      <c r="AG81" s="606"/>
      <c r="AH81" s="609" cm="1">
        <f t="array" ref="AH81">SUMPRODUCT(--($Q$4:$Q$131="80L")*--($R$4:$R$131="Weekly")*--($D$4:$D$131="N")*--($S$4:$S$131&gt;0))</f>
        <v>0</v>
      </c>
      <c r="AI81" s="609" cm="1">
        <f t="array" ref="AI81">SUMPRODUCT(--($Q$4:$Q$131="80L")*--($R$4:$R$131="Weekly")*--($D$4:$D$131="N"),$S$4:$S$131)</f>
        <v>0</v>
      </c>
      <c r="AJ81" s="606"/>
      <c r="AK81" s="609" cm="1">
        <f t="array" ref="AK81">SUMPRODUCT(--($Q$4:$Q$131="80L")*--($R$4:$R$131="Weekly"))</f>
        <v>0</v>
      </c>
      <c r="AL81" s="606" cm="1">
        <f t="array" ref="AL81">SUMPRODUCT(--($Q$4:$Q$131="80L")*--($R$4:$R$131="Weekly")*--($S$4:$S$131))</f>
        <v>0</v>
      </c>
      <c r="AM81" s="604"/>
      <c r="AN81" s="582"/>
      <c r="AO81" s="604" t="s">
        <v>292</v>
      </c>
      <c r="AP81" s="604" t="s">
        <v>289</v>
      </c>
      <c r="AQ81" s="605"/>
      <c r="AR81" s="606">
        <v>0</v>
      </c>
      <c r="BH81" s="119"/>
      <c r="BI81" s="119"/>
      <c r="BJ81" s="119"/>
    </row>
    <row r="82" spans="1:62" x14ac:dyDescent="0.25">
      <c r="A82" s="8">
        <v>15560</v>
      </c>
      <c r="B82" s="8" t="s">
        <v>135</v>
      </c>
      <c r="C82" s="8" t="s">
        <v>68</v>
      </c>
      <c r="D82" s="29" t="s">
        <v>1</v>
      </c>
      <c r="E82" s="291"/>
      <c r="F82" s="292" t="s">
        <v>288</v>
      </c>
      <c r="G82" s="293" t="s">
        <v>289</v>
      </c>
      <c r="H82" s="294">
        <f>'App 7 - HH &amp; Capita'!G83</f>
        <v>10.237510237510238</v>
      </c>
      <c r="I82" s="291"/>
      <c r="J82" s="295" t="s">
        <v>288</v>
      </c>
      <c r="K82" s="296" t="s">
        <v>287</v>
      </c>
      <c r="L82" s="297">
        <f>'App 7 - HH &amp; Capita'!L83</f>
        <v>2.3240384615384615</v>
      </c>
      <c r="M82" s="291"/>
      <c r="N82" s="298"/>
      <c r="O82" s="298"/>
      <c r="P82" s="299"/>
      <c r="Q82" s="300"/>
      <c r="R82" s="300"/>
      <c r="S82" s="301"/>
      <c r="T82" s="291"/>
      <c r="U82" s="302">
        <f t="shared" si="31"/>
        <v>12.5615486990487</v>
      </c>
      <c r="V82" s="138">
        <f t="shared" si="32"/>
        <v>2</v>
      </c>
      <c r="W82" s="303">
        <f>'App 3 - Recycling Rate'!S83</f>
        <v>0.32754391406095806</v>
      </c>
      <c r="Y82" s="376" t="str">
        <f t="shared" si="33"/>
        <v>120LIFortnightly</v>
      </c>
      <c r="Z82" s="604" t="s">
        <v>290</v>
      </c>
      <c r="AA82" s="604" t="s">
        <v>414</v>
      </c>
      <c r="AB82" s="609" cm="1">
        <f t="array" ref="AB82">SUMPRODUCT(--($Q$4:$Q$131="120L")*--($R$4:$R$131="F/N")*--($D$4:$D$131="S")*--($S$4:$S$131&gt;0))</f>
        <v>0</v>
      </c>
      <c r="AC82" s="609" cm="1">
        <f t="array" ref="AC82">SUMPRODUCT(--($Q$4:$Q$131="120L")*--($R$4:$R$131="F/N")*--($D$4:$D$131="S"),$S$4:$S$131)</f>
        <v>0</v>
      </c>
      <c r="AD82" s="606"/>
      <c r="AE82" s="609" cm="1">
        <f t="array" ref="AE82">SUMPRODUCT(--($Q$4:$Q$131="120L")*--($R$4:$R$131="F/N")*--($D$4:$D$131="R")*--($S$4:$S$131&gt;0))</f>
        <v>0</v>
      </c>
      <c r="AF82" s="609" cm="1">
        <f t="array" ref="AF82">SUMPRODUCT(--($Q$4:$Q$131="120L")*--($R$4:$R$131="F/N")*--($D$4:$D$131="R"),$S$4:$S$131)</f>
        <v>0</v>
      </c>
      <c r="AG82" s="606"/>
      <c r="AH82" s="609" cm="1">
        <f t="array" ref="AH82">SUMPRODUCT(--($Q$4:$Q$131="120L")*--($R$4:$R$131="F/N")*--($D$4:$D$131="N")*--($S$4:$S$131&gt;0))</f>
        <v>0</v>
      </c>
      <c r="AI82" s="609" cm="1">
        <f t="array" ref="AI82">SUMPRODUCT(--($Q$4:$Q$131="120L")*--($R$4:$R$131="F/N")*--($D$4:$D$131="N"),$S$4:$S$131)</f>
        <v>0</v>
      </c>
      <c r="AJ82" s="606"/>
      <c r="AK82" s="609" cm="1">
        <f t="array" ref="AK82">SUMPRODUCT(--($Q$4:$Q$131="120L")*--($R$4:$R$131="F/N"))</f>
        <v>0</v>
      </c>
      <c r="AL82" s="606" cm="1">
        <f t="array" ref="AL82">SUMPRODUCT(--($Q$4:$Q$131="120L")*--($R$4:$R$131="F/N")*--($S$4:$S$131))</f>
        <v>0</v>
      </c>
      <c r="AM82" s="604"/>
      <c r="AN82" s="582"/>
      <c r="AO82" s="604" t="s">
        <v>290</v>
      </c>
      <c r="AP82" s="604" t="s">
        <v>414</v>
      </c>
      <c r="AQ82" s="605"/>
      <c r="AR82" s="606">
        <v>0</v>
      </c>
      <c r="BH82" s="119"/>
      <c r="BI82" s="119"/>
      <c r="BJ82" s="119"/>
    </row>
    <row r="83" spans="1:62" x14ac:dyDescent="0.25">
      <c r="A83" s="8">
        <v>15650</v>
      </c>
      <c r="B83" s="8" t="s">
        <v>136</v>
      </c>
      <c r="C83" s="8" t="s">
        <v>23</v>
      </c>
      <c r="D83" s="29" t="s">
        <v>3</v>
      </c>
      <c r="E83" s="291"/>
      <c r="F83" s="292" t="s">
        <v>286</v>
      </c>
      <c r="G83" s="293" t="s">
        <v>289</v>
      </c>
      <c r="H83" s="294">
        <f>'App 7 - HH &amp; Capita'!G84</f>
        <v>9.1749779204273736</v>
      </c>
      <c r="I83" s="291"/>
      <c r="J83" s="295" t="s">
        <v>288</v>
      </c>
      <c r="K83" s="296" t="s">
        <v>287</v>
      </c>
      <c r="L83" s="297">
        <f>'App 7 - HH &amp; Capita'!L84</f>
        <v>2.9920438745558475</v>
      </c>
      <c r="M83" s="291"/>
      <c r="N83" s="298" t="s">
        <v>288</v>
      </c>
      <c r="O83" s="298" t="s">
        <v>287</v>
      </c>
      <c r="P83" s="299">
        <v>5.1245828832799996</v>
      </c>
      <c r="Q83" s="300"/>
      <c r="R83" s="300"/>
      <c r="S83" s="301"/>
      <c r="T83" s="291"/>
      <c r="U83" s="302">
        <f t="shared" si="31"/>
        <v>17.291604678263219</v>
      </c>
      <c r="V83" s="138">
        <f t="shared" si="32"/>
        <v>3</v>
      </c>
      <c r="W83" s="303">
        <f>'App 3 - Recycling Rate'!S84</f>
        <v>0.45761282159426414</v>
      </c>
      <c r="Y83" s="376" t="str">
        <f t="shared" si="33"/>
        <v>140LIFortnightly</v>
      </c>
      <c r="Z83" s="604" t="s">
        <v>286</v>
      </c>
      <c r="AA83" s="604" t="s">
        <v>414</v>
      </c>
      <c r="AB83" s="609" cm="1">
        <f t="array" ref="AB83">SUMPRODUCT(--($Q$4:$Q$131="140L")*--($R$4:$R$131="F/N")*--($D$4:$D$131="S")*--($S$4:$S$131&gt;0))</f>
        <v>0</v>
      </c>
      <c r="AC83" s="609" cm="1">
        <f t="array" ref="AC83">SUMPRODUCT(--($Q$4:$Q$131="140L")*--($R$4:$R$131="F/N")*--($D$4:$D$131="S"),$S$4:$S$131)</f>
        <v>0</v>
      </c>
      <c r="AD83" s="606"/>
      <c r="AE83" s="609" cm="1">
        <f t="array" ref="AE83">SUMPRODUCT(--($Q$4:$Q$131="140L")*--($R$4:$R$131="F/N")*--($D$4:$D$131="R")*--($S$4:$S$131&gt;0))</f>
        <v>0</v>
      </c>
      <c r="AF83" s="609" cm="1">
        <f t="array" ref="AF83">SUMPRODUCT(--($Q$4:$Q$131="140L")*--($R$4:$R$131="F/N")*--($D$4:$D$131="R"),$S$4:$S$131)</f>
        <v>0</v>
      </c>
      <c r="AG83" s="606"/>
      <c r="AH83" s="609" cm="1">
        <f t="array" ref="AH83">SUMPRODUCT(--($Q$4:$Q$131="140L")*--($R$4:$R$131="F/N")*--($D$4:$D$131="N")*--($S$4:$S$131&gt;0))</f>
        <v>0</v>
      </c>
      <c r="AI83" s="609" cm="1">
        <f t="array" ref="AI83">SUMPRODUCT(--($Q$4:$Q$131="140L")*--($R$4:$R$131="F/N")*--($D$4:$D$131="N"),$S$4:$S$131)</f>
        <v>0</v>
      </c>
      <c r="AJ83" s="606"/>
      <c r="AK83" s="609" cm="1">
        <f t="array" ref="AK83">SUMPRODUCT(--($Q$4:$Q$131="140L")*--($R$4:$R$131="F/N"))</f>
        <v>0</v>
      </c>
      <c r="AL83" s="606" cm="1">
        <f t="array" ref="AL83">SUMPRODUCT(--($Q$4:$Q$131="140L")*--($R$4:$R$131="F/N")*--($S$4:$S$131))</f>
        <v>0</v>
      </c>
      <c r="AM83" s="604"/>
      <c r="AN83" s="582"/>
      <c r="AO83" s="604" t="s">
        <v>286</v>
      </c>
      <c r="AP83" s="604" t="s">
        <v>414</v>
      </c>
      <c r="AQ83" s="605"/>
      <c r="AR83" s="606">
        <v>0</v>
      </c>
      <c r="BH83" s="119"/>
      <c r="BI83" s="119"/>
      <c r="BJ83" s="119"/>
    </row>
    <row r="84" spans="1:62" x14ac:dyDescent="0.25">
      <c r="A84" s="8">
        <v>15700</v>
      </c>
      <c r="B84" s="8" t="s">
        <v>54</v>
      </c>
      <c r="C84" s="8" t="s">
        <v>39</v>
      </c>
      <c r="D84" s="29" t="s">
        <v>3</v>
      </c>
      <c r="E84" s="291"/>
      <c r="F84" s="292" t="s">
        <v>288</v>
      </c>
      <c r="G84" s="293" t="s">
        <v>287</v>
      </c>
      <c r="H84" s="294">
        <f>'App 7 - HH &amp; Capita'!G85</f>
        <v>8.2861260186841594</v>
      </c>
      <c r="I84" s="291"/>
      <c r="J84" s="295" t="s">
        <v>288</v>
      </c>
      <c r="K84" s="296" t="s">
        <v>287</v>
      </c>
      <c r="L84" s="297">
        <f>'App 7 - HH &amp; Capita'!L85</f>
        <v>3.7666467899026039</v>
      </c>
      <c r="M84" s="291"/>
      <c r="N84" s="298"/>
      <c r="O84" s="298"/>
      <c r="P84" s="299"/>
      <c r="Q84" s="300" t="s">
        <v>288</v>
      </c>
      <c r="R84" s="300" t="s">
        <v>289</v>
      </c>
      <c r="S84" s="301">
        <v>6.7589978135560003</v>
      </c>
      <c r="T84" s="291"/>
      <c r="U84" s="302">
        <f t="shared" si="31"/>
        <v>18.811770622142763</v>
      </c>
      <c r="V84" s="138">
        <f t="shared" si="32"/>
        <v>4</v>
      </c>
      <c r="W84" s="303">
        <f>'App 3 - Recycling Rate'!S85</f>
        <v>0.6189642234102557</v>
      </c>
      <c r="Y84" s="376" t="str">
        <f t="shared" si="33"/>
        <v>240LIFortnightly</v>
      </c>
      <c r="Z84" s="604" t="s">
        <v>288</v>
      </c>
      <c r="AA84" s="604" t="s">
        <v>414</v>
      </c>
      <c r="AB84" s="609" cm="1">
        <f t="array" ref="AB84">SUMPRODUCT(--($Q$4:$Q$131="240L")*--($R$4:$R$131="F/N")*--($D$4:$D$131="S")*--($S$4:$S$131&gt;0))</f>
        <v>0</v>
      </c>
      <c r="AC84" s="609" cm="1">
        <f t="array" ref="AC84">SUMPRODUCT(--($Q$4:$Q$131="240L")*--($R$4:$R$131="F/N")*--($D$4:$D$131="S"),$S$4:$S$131)</f>
        <v>0</v>
      </c>
      <c r="AD84" s="606"/>
      <c r="AE84" s="609" cm="1">
        <f t="array" ref="AE84">SUMPRODUCT(--($Q$4:$Q$131="240L")*--($R$4:$R$131="F/N")*--($D$4:$D$131="R")*--($S$4:$S$131&gt;0))</f>
        <v>0</v>
      </c>
      <c r="AF84" s="609" cm="1">
        <f t="array" ref="AF84">SUMPRODUCT(--($Q$4:$Q$131="240L")*--($R$4:$R$131="F/N")*--($D$4:$D$131="R"),$S$4:$S$131)</f>
        <v>0</v>
      </c>
      <c r="AG84" s="606"/>
      <c r="AH84" s="609" cm="1">
        <f t="array" ref="AH84">SUMPRODUCT(--($Q$4:$Q$131="240L")*--($R$4:$R$131="F/N")*--($D$4:$D$131="N")*--($S$4:$S$131&gt;0))</f>
        <v>12</v>
      </c>
      <c r="AI84" s="609" cm="1">
        <f t="array" ref="AI84">SUMPRODUCT(--($Q$4:$Q$131="240L")*--($R$4:$R$131="F/N")*--($D$4:$D$131="N"),$S$4:$S$131)</f>
        <v>67.899335266568713</v>
      </c>
      <c r="AJ84" s="606">
        <f>AI84/AH84</f>
        <v>5.6582779388807261</v>
      </c>
      <c r="AK84" s="609" cm="1">
        <f t="array" ref="AK84">SUMPRODUCT(--($Q$4:$Q$131="240L")*--($R$4:$R$131="F/N"))</f>
        <v>12</v>
      </c>
      <c r="AL84" s="606" cm="1">
        <f t="array" ref="AL84">SUMPRODUCT(--($Q$4:$Q$131="240L")*--($R$4:$R$131="F/N")*--($S$4:$S$131))</f>
        <v>67.899335266568713</v>
      </c>
      <c r="AM84" s="604">
        <f>AL84/AK84</f>
        <v>5.6582779388807261</v>
      </c>
      <c r="AN84" s="582"/>
      <c r="AO84" s="604" t="s">
        <v>413</v>
      </c>
      <c r="AP84" s="604" t="s">
        <v>414</v>
      </c>
      <c r="AQ84" s="605"/>
      <c r="AR84" s="606">
        <v>0</v>
      </c>
      <c r="BH84" s="119"/>
      <c r="BI84" s="119"/>
      <c r="BJ84" s="119"/>
    </row>
    <row r="85" spans="1:62" x14ac:dyDescent="0.25">
      <c r="A85" s="8">
        <v>15750</v>
      </c>
      <c r="B85" s="8" t="s">
        <v>137</v>
      </c>
      <c r="C85" s="8" t="s">
        <v>16</v>
      </c>
      <c r="D85" s="29" t="s">
        <v>1</v>
      </c>
      <c r="E85" s="291"/>
      <c r="F85" s="292" t="s">
        <v>286</v>
      </c>
      <c r="G85" s="293" t="s">
        <v>289</v>
      </c>
      <c r="H85" s="294">
        <f>'App 7 - HH &amp; Capita'!G86</f>
        <v>10.38977976961591</v>
      </c>
      <c r="I85" s="291"/>
      <c r="J85" s="295" t="s">
        <v>288</v>
      </c>
      <c r="K85" s="296" t="s">
        <v>287</v>
      </c>
      <c r="L85" s="297">
        <f>'App 7 - HH &amp; Capita'!L86</f>
        <v>2.3703123888137765</v>
      </c>
      <c r="M85" s="291"/>
      <c r="N85" s="298"/>
      <c r="O85" s="298"/>
      <c r="P85" s="299"/>
      <c r="Q85" s="300" t="s">
        <v>288</v>
      </c>
      <c r="R85" s="300" t="s">
        <v>287</v>
      </c>
      <c r="S85" s="301">
        <v>3.7239293389312</v>
      </c>
      <c r="T85" s="291"/>
      <c r="U85" s="302">
        <f t="shared" si="31"/>
        <v>16.484021497360885</v>
      </c>
      <c r="V85" s="138">
        <f t="shared" si="32"/>
        <v>4</v>
      </c>
      <c r="W85" s="303">
        <f>'App 3 - Recycling Rate'!S86</f>
        <v>0.4788426890703143</v>
      </c>
      <c r="Y85" s="376" t="str">
        <f t="shared" si="33"/>
        <v>240L Split (W/R)IFortnightly</v>
      </c>
      <c r="Z85" s="604" t="s">
        <v>413</v>
      </c>
      <c r="AA85" s="604" t="s">
        <v>414</v>
      </c>
      <c r="AB85" s="609" cm="1">
        <f t="array" ref="AB85">SUMPRODUCT(--($Q$4:$Q$131="240Sp")*--($R$4:$R$131="F/N")*--($D$4:$D$131="S")*--($S$4:$S$131&gt;0))</f>
        <v>0</v>
      </c>
      <c r="AC85" s="609" cm="1">
        <f t="array" ref="AC85">SUMPRODUCT(--($Q$4:$Q$131="240Sp")*--($R$4:$R$131="F/N")*--($D$4:$D$131="S"),$S$4:$S$131)</f>
        <v>0</v>
      </c>
      <c r="AD85" s="606"/>
      <c r="AE85" s="609" cm="1">
        <f t="array" ref="AE85">SUMPRODUCT(--($Q$4:$Q$131="240Sp")*--($R$4:$R$131="F/N")*--($D$4:$D$131="R")*--($S$4:$S$131&gt;0))</f>
        <v>0</v>
      </c>
      <c r="AF85" s="609" cm="1">
        <f t="array" ref="AF85">SUMPRODUCT(--($Q$4:$Q$131="240Sp")*--($R$4:$R$131="F/N")*--($D$4:$D$131="R"),$S$4:$S$131)</f>
        <v>0</v>
      </c>
      <c r="AG85" s="606"/>
      <c r="AH85" s="609" cm="1">
        <f t="array" ref="AH85">SUMPRODUCT(--($Q$4:$Q$131="240Sp")*--($R$4:$R$131="F/N")*--($D$4:$D$131="N")*--($S$4:$S$131&gt;0))</f>
        <v>0</v>
      </c>
      <c r="AI85" s="609" cm="1">
        <f t="array" ref="AI85">SUMPRODUCT(--($Q$4:$Q$131="240Sp")*--($R$4:$R$131="F/N")*--($D$4:$D$131="N"),$S$4:$S$131)</f>
        <v>0</v>
      </c>
      <c r="AJ85" s="606"/>
      <c r="AK85" s="609" cm="1">
        <f t="array" ref="AK85">SUMPRODUCT(--($Q$4:$Q$131="240Sp")*--($R$4:$R$131="F/N"))</f>
        <v>0</v>
      </c>
      <c r="AL85" s="606" cm="1">
        <f t="array" ref="AL85">SUMPRODUCT(--($Q$4:$Q$131="240Sp")*--($R$4:$R$131="F/N")*--($S$4:$S$131))</f>
        <v>0</v>
      </c>
      <c r="AM85" s="604"/>
      <c r="AN85" s="582"/>
      <c r="AO85" s="604" t="s">
        <v>291</v>
      </c>
      <c r="AP85" s="604" t="s">
        <v>414</v>
      </c>
      <c r="AQ85" s="605"/>
      <c r="AR85" s="606">
        <v>0</v>
      </c>
      <c r="BH85" s="119"/>
      <c r="BI85" s="119"/>
      <c r="BJ85" s="119"/>
    </row>
    <row r="86" spans="1:62" x14ac:dyDescent="0.25">
      <c r="A86" s="8">
        <v>15800</v>
      </c>
      <c r="B86" s="8" t="s">
        <v>138</v>
      </c>
      <c r="C86" s="8" t="s">
        <v>68</v>
      </c>
      <c r="D86" s="29" t="s">
        <v>1</v>
      </c>
      <c r="E86" s="291"/>
      <c r="F86" s="292" t="s">
        <v>288</v>
      </c>
      <c r="G86" s="293" t="s">
        <v>289</v>
      </c>
      <c r="H86" s="294">
        <f>'App 7 - HH &amp; Capita'!G87</f>
        <v>21.245874587458747</v>
      </c>
      <c r="I86" s="291"/>
      <c r="J86" s="295"/>
      <c r="K86" s="296"/>
      <c r="L86" s="297">
        <f>'App 7 - HH &amp; Capita'!L87</f>
        <v>7.4925074925074933</v>
      </c>
      <c r="M86" s="291"/>
      <c r="N86" s="298"/>
      <c r="O86" s="298"/>
      <c r="P86" s="299"/>
      <c r="Q86" s="300"/>
      <c r="R86" s="300"/>
      <c r="S86" s="301"/>
      <c r="T86" s="291"/>
      <c r="U86" s="302">
        <f t="shared" si="31"/>
        <v>28.73838207996624</v>
      </c>
      <c r="V86" s="138">
        <f t="shared" si="32"/>
        <v>1</v>
      </c>
      <c r="W86" s="303">
        <f>'App 3 - Recycling Rate'!S87</f>
        <v>0.27026592512459702</v>
      </c>
      <c r="Y86" s="376" t="str">
        <f t="shared" si="33"/>
        <v>360LIFortnightly</v>
      </c>
      <c r="Z86" s="604" t="s">
        <v>291</v>
      </c>
      <c r="AA86" s="604" t="s">
        <v>414</v>
      </c>
      <c r="AB86" s="609" cm="1">
        <f t="array" ref="AB86">SUMPRODUCT(--($Q$4:$Q$131="360L")*--($R$4:$R$131="F/N")*--($D$4:$D$131="S")*--($S$4:$S$131&gt;0))</f>
        <v>0</v>
      </c>
      <c r="AC86" s="609" cm="1">
        <f t="array" ref="AC86">SUMPRODUCT(--($Q$4:$Q$131="360L")*--($R$4:$R$131="F/N")*--($D$4:$D$131="S"),$S$4:$S$131)</f>
        <v>0</v>
      </c>
      <c r="AD86" s="606"/>
      <c r="AE86" s="609" cm="1">
        <f t="array" ref="AE86">SUMPRODUCT(--($Q$4:$Q$131="360L")*--($R$4:$R$131="F/N")*--($D$4:$D$131="R")*--($S$4:$S$131&gt;0))</f>
        <v>0</v>
      </c>
      <c r="AF86" s="609" cm="1">
        <f t="array" ref="AF86">SUMPRODUCT(--($Q$4:$Q$131="360L")*--($R$4:$R$131="F/N")*--($D$4:$D$131="R"),$S$4:$S$131)</f>
        <v>0</v>
      </c>
      <c r="AG86" s="606"/>
      <c r="AH86" s="609" cm="1">
        <f t="array" ref="AH86">SUMPRODUCT(--($Q$4:$Q$131="360L")*--($R$4:$R$131="F/N")*--($D$4:$D$131="N")*--($S$4:$S$131&gt;0))</f>
        <v>0</v>
      </c>
      <c r="AI86" s="609" cm="1">
        <f t="array" ref="AI86">SUMPRODUCT(--($Q$4:$Q$131="360L")*--($R$4:$R$131="F/N")*--($D$4:$D$131="N"),$S$4:$S$131)</f>
        <v>0</v>
      </c>
      <c r="AJ86" s="606"/>
      <c r="AK86" s="609" cm="1">
        <f t="array" ref="AK86">SUMPRODUCT(--($Q$4:$Q$131="360L")*--($R$4:$R$131="F/N"))</f>
        <v>0</v>
      </c>
      <c r="AL86" s="606" cm="1">
        <f t="array" ref="AL86">SUMPRODUCT(--($Q$4:$Q$131="360L")*--($R$4:$R$131="F/N")*--($S$4:$S$131))</f>
        <v>0</v>
      </c>
      <c r="AM86" s="604"/>
      <c r="AN86" s="582"/>
      <c r="AO86" s="604" t="s">
        <v>288</v>
      </c>
      <c r="AP86" s="604" t="s">
        <v>293</v>
      </c>
      <c r="AQ86" s="605"/>
      <c r="AR86" s="606">
        <v>0</v>
      </c>
      <c r="BH86" s="119"/>
      <c r="BI86" s="119"/>
      <c r="BJ86" s="119"/>
    </row>
    <row r="87" spans="1:62" x14ac:dyDescent="0.25">
      <c r="A87" s="8">
        <v>15850</v>
      </c>
      <c r="B87" s="8" t="s">
        <v>139</v>
      </c>
      <c r="C87" s="8" t="s">
        <v>38</v>
      </c>
      <c r="D87" s="29" t="s">
        <v>1</v>
      </c>
      <c r="E87" s="291"/>
      <c r="F87" s="292" t="s">
        <v>288</v>
      </c>
      <c r="G87" s="293" t="s">
        <v>289</v>
      </c>
      <c r="H87" s="294">
        <f>'App 7 - HH &amp; Capita'!G88</f>
        <v>8.5674127784783529</v>
      </c>
      <c r="I87" s="291"/>
      <c r="J87" s="295" t="s">
        <v>288</v>
      </c>
      <c r="K87" s="296" t="s">
        <v>287</v>
      </c>
      <c r="L87" s="297">
        <f>'App 7 - HH &amp; Capita'!L88</f>
        <v>2.0847608274078864</v>
      </c>
      <c r="M87" s="291"/>
      <c r="N87" s="298"/>
      <c r="O87" s="298"/>
      <c r="P87" s="299"/>
      <c r="Q87" s="300" t="s">
        <v>288</v>
      </c>
      <c r="R87" s="300" t="s">
        <v>289</v>
      </c>
      <c r="S87" s="301">
        <v>7.1563954777211256</v>
      </c>
      <c r="T87" s="291"/>
      <c r="U87" s="302">
        <f t="shared" si="31"/>
        <v>17.808569083607367</v>
      </c>
      <c r="V87" s="138">
        <f t="shared" si="32"/>
        <v>4</v>
      </c>
      <c r="W87" s="303">
        <f>'App 3 - Recycling Rate'!S88</f>
        <v>0.44202002746183355</v>
      </c>
      <c r="Y87" s="376" t="str">
        <f t="shared" si="33"/>
        <v>240LIMonthly</v>
      </c>
      <c r="Z87" s="604" t="s">
        <v>288</v>
      </c>
      <c r="AA87" s="604" t="s">
        <v>293</v>
      </c>
      <c r="AB87" s="609" cm="1">
        <f t="array" ref="AB87">SUMPRODUCT(--($Q$4:$Q$131="240L")*--($R$4:$R$131="Monthly")*--($D$4:$D$131="S")*--($S$4:$S$131&gt;0))</f>
        <v>0</v>
      </c>
      <c r="AC87" s="609" cm="1">
        <f t="array" ref="AC87">SUMPRODUCT(--($Q$4:$Q$131="240L")*--($R$4:$R$131="Monthly")*--($D$4:$D$131="S"),$S$4:$S$131)</f>
        <v>0</v>
      </c>
      <c r="AD87" s="606"/>
      <c r="AE87" s="609" cm="1">
        <f t="array" ref="AE87">SUMPRODUCT(--($Q$4:$Q$131="240L")*--($R$4:$R$131="Monthly")*--($D$4:$D$131="R")*--($S$4:$S$131&gt;0))</f>
        <v>0</v>
      </c>
      <c r="AF87" s="609" cm="1">
        <f t="array" ref="AF87">SUMPRODUCT(--($Q$4:$Q$131="240L")*--($R$4:$R$131="Monthly")*--($D$4:$D$131="R"),$S$4:$S$131)</f>
        <v>0</v>
      </c>
      <c r="AG87" s="606"/>
      <c r="AH87" s="609" cm="1">
        <f t="array" ref="AH87">SUMPRODUCT(--($Q$4:$Q$131="240L")*--($R$4:$R$131="Monthly")*--($D$4:$D$131="N")*--($S$4:$S$131&gt;0))</f>
        <v>0</v>
      </c>
      <c r="AI87" s="609" cm="1">
        <f t="array" ref="AI87">SUMPRODUCT(--($Q$4:$Q$131="240L")*--($R$4:$R$131="Monthly")*--($D$4:$D$131="N"),$S$4:$S$131)</f>
        <v>0</v>
      </c>
      <c r="AJ87" s="606"/>
      <c r="AK87" s="609" cm="1">
        <f t="array" ref="AK87">SUMPRODUCT(--($Q$4:$Q$131="240L")*--($R$4:$R$131="Monthly"))</f>
        <v>0</v>
      </c>
      <c r="AL87" s="606" cm="1">
        <f t="array" ref="AL87">SUMPRODUCT(--($Q$4:$Q$131="240L")*--($R$4:$R$131="Monthly")*--($S$4:$S$131))</f>
        <v>0</v>
      </c>
      <c r="AM87" s="604"/>
      <c r="AN87" s="582"/>
      <c r="AO87" s="582"/>
      <c r="AP87" s="582"/>
      <c r="AQ87" s="582"/>
      <c r="AR87" s="582"/>
      <c r="BH87" s="119"/>
      <c r="BI87" s="119"/>
      <c r="BJ87" s="119"/>
    </row>
    <row r="88" spans="1:62" x14ac:dyDescent="0.25">
      <c r="A88" s="8">
        <v>15900</v>
      </c>
      <c r="B88" s="8" t="s">
        <v>140</v>
      </c>
      <c r="C88" s="8" t="s">
        <v>23</v>
      </c>
      <c r="D88" s="29" t="s">
        <v>2</v>
      </c>
      <c r="E88" s="291"/>
      <c r="F88" s="292" t="s">
        <v>286</v>
      </c>
      <c r="G88" s="293" t="s">
        <v>289</v>
      </c>
      <c r="H88" s="294">
        <f>'App 7 - HH &amp; Capita'!G89</f>
        <v>10.214760639027265</v>
      </c>
      <c r="I88" s="291"/>
      <c r="J88" s="295" t="s">
        <v>288</v>
      </c>
      <c r="K88" s="296" t="s">
        <v>287</v>
      </c>
      <c r="L88" s="297">
        <f>'App 7 - HH &amp; Capita'!L89</f>
        <v>4.567372643568266</v>
      </c>
      <c r="M88" s="291"/>
      <c r="N88" s="298" t="s">
        <v>288</v>
      </c>
      <c r="O88" s="298" t="s">
        <v>287</v>
      </c>
      <c r="P88" s="299">
        <v>4.767453591942</v>
      </c>
      <c r="Q88" s="300"/>
      <c r="R88" s="300"/>
      <c r="S88" s="301"/>
      <c r="T88" s="291"/>
      <c r="U88" s="302">
        <f t="shared" si="31"/>
        <v>19.549586874537532</v>
      </c>
      <c r="V88" s="138">
        <f t="shared" si="32"/>
        <v>3</v>
      </c>
      <c r="W88" s="303">
        <f>'App 3 - Recycling Rate'!S89</f>
        <v>0.39530914632217085</v>
      </c>
      <c r="AB88" s="593"/>
      <c r="AC88" s="593"/>
      <c r="AE88" s="593"/>
      <c r="AF88" s="593"/>
      <c r="AH88" s="593"/>
      <c r="AI88" s="593"/>
      <c r="AK88" s="593"/>
      <c r="AN88" s="582"/>
      <c r="AO88" s="582"/>
      <c r="AP88" s="582"/>
      <c r="AQ88" s="582"/>
      <c r="AR88" s="582"/>
      <c r="BH88" s="119"/>
      <c r="BI88" s="119"/>
      <c r="BJ88" s="119"/>
    </row>
    <row r="89" spans="1:62" x14ac:dyDescent="0.25">
      <c r="A89" s="8">
        <v>15950</v>
      </c>
      <c r="B89" s="8" t="s">
        <v>55</v>
      </c>
      <c r="C89" s="8" t="s">
        <v>24</v>
      </c>
      <c r="D89" s="29" t="s">
        <v>2</v>
      </c>
      <c r="E89" s="291"/>
      <c r="F89" s="292" t="s">
        <v>292</v>
      </c>
      <c r="G89" s="293" t="s">
        <v>289</v>
      </c>
      <c r="H89" s="294">
        <f>'App 7 - HH &amp; Capita'!G90</f>
        <v>28.27460590184867</v>
      </c>
      <c r="I89" s="291"/>
      <c r="J89" s="295" t="s">
        <v>286</v>
      </c>
      <c r="K89" s="296" t="s">
        <v>289</v>
      </c>
      <c r="L89" s="297">
        <f>'App 7 - HH &amp; Capita'!L90</f>
        <v>16.017663108515627</v>
      </c>
      <c r="M89" s="291"/>
      <c r="N89" s="298" t="s">
        <v>288</v>
      </c>
      <c r="O89" s="298" t="s">
        <v>287</v>
      </c>
      <c r="P89" s="299"/>
      <c r="Q89" s="300"/>
      <c r="R89" s="300"/>
      <c r="S89" s="301"/>
      <c r="T89" s="291"/>
      <c r="U89" s="302">
        <f t="shared" si="31"/>
        <v>44.292269010364294</v>
      </c>
      <c r="V89" s="138">
        <f t="shared" si="32"/>
        <v>3</v>
      </c>
      <c r="W89" s="303">
        <f>'App 3 - Recycling Rate'!S90</f>
        <v>0.35571488377056371</v>
      </c>
      <c r="Z89" s="604" t="s">
        <v>418</v>
      </c>
      <c r="AA89" s="604"/>
      <c r="AB89" s="609" cm="1">
        <f t="array" ref="AB89">SUMPRODUCT(--($Q$4:$Q$131="")*--($R$4:$R$131="")*--($D$4:$D$131="S")*--($S$4:$S$131&gt;0))</f>
        <v>0</v>
      </c>
      <c r="AC89" s="609" cm="1">
        <f t="array" ref="AC89">SUMPRODUCT(--($Q$4:$Q$131="")*--($R$4:$R$131="")*--($D$4:$D$131="S"),$S$4:$S$131)</f>
        <v>0</v>
      </c>
      <c r="AD89" s="606" t="s">
        <v>419</v>
      </c>
      <c r="AE89" s="609" cm="1">
        <f t="array" ref="AE89">SUMPRODUCT(--($Q$4:$Q$131="")*--($R$4:$R$131="")*--($D$4:$D$131="R")*--($S$4:$S$131&gt;0))</f>
        <v>0</v>
      </c>
      <c r="AF89" s="609" cm="1">
        <f t="array" ref="AF89">SUMPRODUCT(--($Q$4:$Q$131="")*--($R$4:$R$131="")*--($D$4:$D$131="R"),$S$4:$S$131)</f>
        <v>0</v>
      </c>
      <c r="AG89" s="606" t="s">
        <v>419</v>
      </c>
      <c r="AH89" s="609" cm="1">
        <f t="array" ref="AH89">SUMPRODUCT(--($Q$4:$Q$131="")*--($R$4:$R$131="")*--($D$4:$D$131="N")*--($S$4:$S$131&gt;0))</f>
        <v>1</v>
      </c>
      <c r="AI89" s="609" cm="1">
        <f t="array" ref="AI89">SUMPRODUCT(--($Q$4:$Q$131="")*--($R$4:$R$131="")*--($D$4:$D$131="N"),$S$4:$S$131)</f>
        <v>1</v>
      </c>
      <c r="AJ89" s="606" t="s">
        <v>419</v>
      </c>
      <c r="AK89" s="609" cm="1">
        <f t="array" ref="AK89">SUMPRODUCT(--($Q$4:$Q$131="")*--($R$4:$R$131=""))</f>
        <v>84</v>
      </c>
      <c r="AL89" s="606" t="s">
        <v>419</v>
      </c>
      <c r="AM89" s="604" t="s">
        <v>419</v>
      </c>
      <c r="AR89" s="592">
        <f>SUM(AR75:AR88)</f>
        <v>44</v>
      </c>
      <c r="BH89" s="119"/>
      <c r="BI89" s="119"/>
      <c r="BJ89" s="119"/>
    </row>
    <row r="90" spans="1:62" x14ac:dyDescent="0.25">
      <c r="A90" s="8">
        <v>15990</v>
      </c>
      <c r="B90" s="8" t="s">
        <v>141</v>
      </c>
      <c r="C90" s="8"/>
      <c r="D90" s="29" t="s">
        <v>2</v>
      </c>
      <c r="E90" s="291"/>
      <c r="F90" s="292" t="s">
        <v>288</v>
      </c>
      <c r="G90" s="293" t="s">
        <v>289</v>
      </c>
      <c r="H90" s="294">
        <f>'App 7 - HH &amp; Capita'!G91</f>
        <v>7.6418272559734959</v>
      </c>
      <c r="I90" s="291"/>
      <c r="J90" s="295" t="s">
        <v>286</v>
      </c>
      <c r="K90" s="296" t="s">
        <v>289</v>
      </c>
      <c r="L90" s="297">
        <f>'App 7 - HH &amp; Capita'!L91</f>
        <v>3.3782444100007458</v>
      </c>
      <c r="M90" s="291"/>
      <c r="N90" s="298" t="s">
        <v>288</v>
      </c>
      <c r="O90" s="298" t="s">
        <v>287</v>
      </c>
      <c r="P90" s="299">
        <v>5.8368212539800002</v>
      </c>
      <c r="Q90" s="300"/>
      <c r="R90" s="300"/>
      <c r="S90" s="301"/>
      <c r="T90" s="291"/>
      <c r="U90" s="302">
        <f t="shared" si="31"/>
        <v>16.856892919954241</v>
      </c>
      <c r="V90" s="138">
        <f t="shared" si="32"/>
        <v>3</v>
      </c>
      <c r="W90" s="303">
        <f>'App 3 - Recycling Rate'!S91</f>
        <v>0.66319173449804225</v>
      </c>
      <c r="AB90" s="593"/>
      <c r="AE90" s="593"/>
      <c r="AH90" s="593"/>
      <c r="AK90" s="593"/>
      <c r="AQ90" s="594"/>
      <c r="AR90" s="592"/>
      <c r="BH90" s="119"/>
      <c r="BI90" s="119"/>
      <c r="BJ90" s="119"/>
    </row>
    <row r="91" spans="1:62" ht="15.75" x14ac:dyDescent="0.25">
      <c r="A91" s="8">
        <v>16100</v>
      </c>
      <c r="B91" s="8" t="s">
        <v>142</v>
      </c>
      <c r="C91" s="8" t="s">
        <v>38</v>
      </c>
      <c r="D91" s="29" t="s">
        <v>1</v>
      </c>
      <c r="E91" s="291"/>
      <c r="F91" s="292" t="s">
        <v>288</v>
      </c>
      <c r="G91" s="293" t="s">
        <v>289</v>
      </c>
      <c r="H91" s="294">
        <f>'App 7 - HH &amp; Capita'!G92</f>
        <v>9.0000308680083965</v>
      </c>
      <c r="I91" s="291"/>
      <c r="J91" s="295"/>
      <c r="K91" s="296"/>
      <c r="L91" s="297"/>
      <c r="M91" s="291"/>
      <c r="N91" s="298"/>
      <c r="O91" s="298"/>
      <c r="P91" s="299"/>
      <c r="Q91" s="300"/>
      <c r="R91" s="300"/>
      <c r="S91" s="301"/>
      <c r="T91" s="291"/>
      <c r="U91" s="302">
        <f t="shared" si="31"/>
        <v>9.0000308680083965</v>
      </c>
      <c r="V91" s="138">
        <f t="shared" si="32"/>
        <v>1</v>
      </c>
      <c r="W91" s="303">
        <f>'App 3 - Recycling Rate'!S92</f>
        <v>0.40861577319546161</v>
      </c>
      <c r="Z91" s="595" t="s">
        <v>0</v>
      </c>
      <c r="AB91" s="596">
        <f>SUM(AB76:AB89)</f>
        <v>7</v>
      </c>
      <c r="AC91" s="597"/>
      <c r="AD91" s="597"/>
      <c r="AE91" s="596">
        <f>SUM(AE76:AE89)</f>
        <v>10</v>
      </c>
      <c r="AF91" s="597"/>
      <c r="AG91" s="597"/>
      <c r="AH91" s="596">
        <f>SUM(AH76:AH89)</f>
        <v>25</v>
      </c>
      <c r="AI91" s="597"/>
      <c r="AJ91" s="597"/>
      <c r="AK91" s="596">
        <f>SUM(AK76:AK87)+AK89</f>
        <v>128</v>
      </c>
      <c r="AL91" s="597"/>
      <c r="AM91" s="597"/>
      <c r="AR91" s="592"/>
      <c r="AT91" s="575" t="s">
        <v>429</v>
      </c>
      <c r="BH91" s="119"/>
      <c r="BI91" s="119"/>
      <c r="BJ91" s="119"/>
    </row>
    <row r="92" spans="1:62" x14ac:dyDescent="0.25">
      <c r="A92" s="8">
        <v>16150</v>
      </c>
      <c r="B92" s="8" t="s">
        <v>143</v>
      </c>
      <c r="C92" s="8" t="s">
        <v>38</v>
      </c>
      <c r="D92" s="29" t="s">
        <v>1</v>
      </c>
      <c r="E92" s="291"/>
      <c r="F92" s="292" t="s">
        <v>288</v>
      </c>
      <c r="G92" s="293" t="s">
        <v>289</v>
      </c>
      <c r="H92" s="294">
        <f>'App 7 - HH &amp; Capita'!G93</f>
        <v>12.647234871072081</v>
      </c>
      <c r="I92" s="291"/>
      <c r="J92" s="295" t="s">
        <v>288</v>
      </c>
      <c r="K92" s="296" t="s">
        <v>287</v>
      </c>
      <c r="L92" s="297">
        <f>'App 7 - HH &amp; Capita'!L93</f>
        <v>3.1804255780640673</v>
      </c>
      <c r="M92" s="291"/>
      <c r="N92" s="298"/>
      <c r="O92" s="298"/>
      <c r="P92" s="299"/>
      <c r="Q92" s="300" t="s">
        <v>288</v>
      </c>
      <c r="R92" s="300" t="s">
        <v>289</v>
      </c>
      <c r="S92" s="301">
        <v>6.4577293679977998</v>
      </c>
      <c r="T92" s="291"/>
      <c r="U92" s="302">
        <f t="shared" si="31"/>
        <v>22.285389817133947</v>
      </c>
      <c r="V92" s="138">
        <f t="shared" si="32"/>
        <v>4</v>
      </c>
      <c r="W92" s="303">
        <f>'App 3 - Recycling Rate'!S93</f>
        <v>0.43968106773394455</v>
      </c>
      <c r="AK92" s="598">
        <f>SUM(AB91:AH91)</f>
        <v>42</v>
      </c>
      <c r="AR92" s="592"/>
      <c r="BH92" s="119"/>
      <c r="BI92" s="119"/>
      <c r="BJ92" s="119"/>
    </row>
    <row r="93" spans="1:62" x14ac:dyDescent="0.25">
      <c r="A93" s="8">
        <v>16200</v>
      </c>
      <c r="B93" s="8" t="s">
        <v>144</v>
      </c>
      <c r="C93" s="8" t="s">
        <v>38</v>
      </c>
      <c r="D93" s="29" t="s">
        <v>1</v>
      </c>
      <c r="E93" s="291"/>
      <c r="F93" s="292" t="s">
        <v>288</v>
      </c>
      <c r="G93" s="293" t="s">
        <v>287</v>
      </c>
      <c r="H93" s="294">
        <f>'App 7 - HH &amp; Capita'!G94</f>
        <v>5.729149280840411</v>
      </c>
      <c r="I93" s="291"/>
      <c r="J93" s="295" t="s">
        <v>288</v>
      </c>
      <c r="K93" s="296" t="s">
        <v>287</v>
      </c>
      <c r="L93" s="297">
        <f>'App 7 - HH &amp; Capita'!L94</f>
        <v>1.8093132540870651</v>
      </c>
      <c r="M93" s="291"/>
      <c r="N93" s="298"/>
      <c r="O93" s="298"/>
      <c r="P93" s="299"/>
      <c r="Q93" s="300" t="s">
        <v>288</v>
      </c>
      <c r="R93" s="300" t="s">
        <v>289</v>
      </c>
      <c r="S93" s="301">
        <v>3.9689613849521148</v>
      </c>
      <c r="T93" s="291"/>
      <c r="U93" s="302">
        <f t="shared" si="31"/>
        <v>11.50742391987959</v>
      </c>
      <c r="V93" s="138">
        <f t="shared" si="32"/>
        <v>4</v>
      </c>
      <c r="W93" s="303">
        <f>'App 3 - Recycling Rate'!S94</f>
        <v>0.39403825046251029</v>
      </c>
      <c r="Z93" s="610"/>
      <c r="AA93" s="610"/>
      <c r="AB93" s="610"/>
      <c r="AC93" s="610"/>
      <c r="AD93" s="610"/>
      <c r="AE93" s="610"/>
      <c r="AF93" s="610"/>
      <c r="AG93" s="610"/>
      <c r="AH93" s="610"/>
      <c r="AI93" s="610"/>
      <c r="AJ93" s="610"/>
      <c r="AK93" s="610"/>
      <c r="AL93" s="610"/>
      <c r="AM93" s="610"/>
      <c r="AN93" s="610"/>
      <c r="AO93" s="610"/>
      <c r="AP93" s="610"/>
      <c r="AR93" s="577" t="s">
        <v>428</v>
      </c>
    </row>
    <row r="94" spans="1:62" x14ac:dyDescent="0.25">
      <c r="A94" s="8">
        <v>16260</v>
      </c>
      <c r="B94" s="8" t="s">
        <v>56</v>
      </c>
      <c r="C94" s="8" t="s">
        <v>18</v>
      </c>
      <c r="D94" s="29" t="s">
        <v>2</v>
      </c>
      <c r="E94" s="291"/>
      <c r="F94" s="292" t="s">
        <v>286</v>
      </c>
      <c r="G94" s="293" t="s">
        <v>289</v>
      </c>
      <c r="H94" s="294">
        <f>'App 7 - HH &amp; Capita'!G95</f>
        <v>10.310514485514487</v>
      </c>
      <c r="I94" s="291"/>
      <c r="J94" s="295" t="s">
        <v>288</v>
      </c>
      <c r="K94" s="296" t="s">
        <v>287</v>
      </c>
      <c r="L94" s="297">
        <f>'App 7 - HH &amp; Capita'!L95</f>
        <v>4.4505644206989725</v>
      </c>
      <c r="M94" s="291"/>
      <c r="N94" s="298" t="s">
        <v>288</v>
      </c>
      <c r="O94" s="298" t="s">
        <v>287</v>
      </c>
      <c r="P94" s="299">
        <v>6.9826511225500001</v>
      </c>
      <c r="Q94" s="300"/>
      <c r="R94" s="300"/>
      <c r="S94" s="301"/>
      <c r="T94" s="291"/>
      <c r="U94" s="302">
        <f t="shared" si="31"/>
        <v>21.743730028763459</v>
      </c>
      <c r="V94" s="138">
        <f t="shared" si="32"/>
        <v>3</v>
      </c>
      <c r="W94" s="303">
        <f>'App 3 - Recycling Rate'!S95</f>
        <v>0.52919719946974964</v>
      </c>
      <c r="Z94" s="672" t="s">
        <v>364</v>
      </c>
      <c r="AA94" s="672"/>
      <c r="AB94" s="672"/>
      <c r="AC94" s="672"/>
      <c r="AD94" s="672"/>
      <c r="AE94" s="672"/>
      <c r="AR94" s="574" t="s">
        <v>430</v>
      </c>
      <c r="AS94" s="574" t="s">
        <v>280</v>
      </c>
      <c r="AT94" s="574" t="s">
        <v>282</v>
      </c>
      <c r="AU94" s="574" t="s">
        <v>26</v>
      </c>
    </row>
    <row r="95" spans="1:62" x14ac:dyDescent="0.25">
      <c r="A95" s="8">
        <v>16350</v>
      </c>
      <c r="B95" s="8" t="s">
        <v>57</v>
      </c>
      <c r="C95" s="8" t="s">
        <v>182</v>
      </c>
      <c r="D95" s="29" t="s">
        <v>2</v>
      </c>
      <c r="E95" s="291"/>
      <c r="F95" s="292" t="s">
        <v>288</v>
      </c>
      <c r="G95" s="293" t="s">
        <v>474</v>
      </c>
      <c r="H95" s="294">
        <f>'App 7 - HH &amp; Capita'!G96</f>
        <v>8.0016323211900744</v>
      </c>
      <c r="I95" s="291"/>
      <c r="J95" s="295" t="s">
        <v>288</v>
      </c>
      <c r="K95" s="296" t="s">
        <v>287</v>
      </c>
      <c r="L95" s="297">
        <f>'App 7 - HH &amp; Capita'!L96</f>
        <v>3.6359232766446024</v>
      </c>
      <c r="M95" s="291"/>
      <c r="N95" s="298"/>
      <c r="O95" s="298"/>
      <c r="P95" s="299"/>
      <c r="Q95" s="300" t="s">
        <v>288</v>
      </c>
      <c r="R95" s="300" t="s">
        <v>289</v>
      </c>
      <c r="S95" s="301">
        <v>9.8838669594374</v>
      </c>
      <c r="T95" s="291"/>
      <c r="U95" s="302">
        <f t="shared" si="31"/>
        <v>21.521422557272075</v>
      </c>
      <c r="V95" s="138">
        <f t="shared" si="32"/>
        <v>4</v>
      </c>
      <c r="W95" s="303">
        <f>'App 3 - Recycling Rate'!S96</f>
        <v>0.56776801018949374</v>
      </c>
      <c r="Z95" s="519"/>
      <c r="AA95" s="520" t="s">
        <v>7</v>
      </c>
      <c r="AB95" s="520" t="s">
        <v>458</v>
      </c>
      <c r="AC95" s="520" t="s">
        <v>460</v>
      </c>
      <c r="AD95" s="520" t="s">
        <v>478</v>
      </c>
      <c r="AF95" s="610"/>
      <c r="AG95" s="610"/>
      <c r="AH95" s="610"/>
      <c r="AI95" s="610"/>
      <c r="AJ95" s="610"/>
      <c r="AK95" s="610"/>
      <c r="AL95" s="610"/>
      <c r="AM95" s="610"/>
      <c r="AN95" s="610"/>
      <c r="AO95" s="610"/>
      <c r="AP95" s="610"/>
      <c r="AR95" s="574" t="s">
        <v>431</v>
      </c>
      <c r="AS95" s="574" t="s">
        <v>289</v>
      </c>
      <c r="AT95" s="646">
        <f>AQ75</f>
        <v>6.6042242864400444</v>
      </c>
      <c r="AU95" s="611">
        <f>AR75</f>
        <v>32</v>
      </c>
    </row>
    <row r="96" spans="1:62" x14ac:dyDescent="0.25">
      <c r="A96" s="8">
        <v>16380</v>
      </c>
      <c r="B96" s="8" t="s">
        <v>145</v>
      </c>
      <c r="C96" s="8" t="s">
        <v>39</v>
      </c>
      <c r="D96" s="29" t="s">
        <v>3</v>
      </c>
      <c r="E96" s="291"/>
      <c r="F96" s="292" t="s">
        <v>288</v>
      </c>
      <c r="G96" s="293" t="s">
        <v>287</v>
      </c>
      <c r="H96" s="294">
        <f>'App 7 - HH &amp; Capita'!G97</f>
        <v>7.3252837882339268</v>
      </c>
      <c r="I96" s="291"/>
      <c r="J96" s="295" t="s">
        <v>288</v>
      </c>
      <c r="K96" s="296" t="s">
        <v>287</v>
      </c>
      <c r="L96" s="297">
        <f>'App 7 - HH &amp; Capita'!L97</f>
        <v>4.2376834693837022</v>
      </c>
      <c r="M96" s="291"/>
      <c r="N96" s="298"/>
      <c r="O96" s="298"/>
      <c r="P96" s="299"/>
      <c r="Q96" s="300" t="s">
        <v>288</v>
      </c>
      <c r="R96" s="300" t="s">
        <v>289</v>
      </c>
      <c r="S96" s="301">
        <v>8.7522825128249995</v>
      </c>
      <c r="T96" s="291"/>
      <c r="U96" s="302">
        <f t="shared" si="31"/>
        <v>20.315249770442627</v>
      </c>
      <c r="V96" s="138">
        <f t="shared" si="32"/>
        <v>4</v>
      </c>
      <c r="W96" s="303">
        <f>'App 3 - Recycling Rate'!S97</f>
        <v>0.53613452813442919</v>
      </c>
      <c r="Z96" s="524" t="s">
        <v>12</v>
      </c>
      <c r="AA96" s="525">
        <f>AB96+AC96+AD96</f>
        <v>128</v>
      </c>
      <c r="AB96" s="525">
        <f>'App 1 - Services'!F186</f>
        <v>42</v>
      </c>
      <c r="AC96" s="525">
        <f>'App 1 - Services'!F215</f>
        <v>19</v>
      </c>
      <c r="AD96" s="525">
        <f>'App 1 - Services'!F292</f>
        <v>67</v>
      </c>
      <c r="AR96" s="574" t="s">
        <v>431</v>
      </c>
      <c r="AS96" s="574" t="s">
        <v>414</v>
      </c>
      <c r="AT96" s="646">
        <f>AQ76</f>
        <v>5.6582779388807261</v>
      </c>
      <c r="AU96" s="611">
        <f>AR76</f>
        <v>12</v>
      </c>
    </row>
    <row r="97" spans="1:49" x14ac:dyDescent="0.25">
      <c r="A97" s="8">
        <v>16400</v>
      </c>
      <c r="B97" s="8" t="s">
        <v>58</v>
      </c>
      <c r="C97" s="8" t="s">
        <v>23</v>
      </c>
      <c r="D97" s="29" t="s">
        <v>2</v>
      </c>
      <c r="E97" s="291"/>
      <c r="F97" s="292" t="s">
        <v>288</v>
      </c>
      <c r="G97" s="293" t="s">
        <v>289</v>
      </c>
      <c r="H97" s="294">
        <f>'App 7 - HH &amp; Capita'!G98</f>
        <v>14.509297076769295</v>
      </c>
      <c r="I97" s="291"/>
      <c r="J97" s="295" t="s">
        <v>288</v>
      </c>
      <c r="K97" s="296" t="s">
        <v>287</v>
      </c>
      <c r="L97" s="297">
        <f>'App 7 - HH &amp; Capita'!L98</f>
        <v>3.3521264999479854</v>
      </c>
      <c r="M97" s="291"/>
      <c r="N97" s="298"/>
      <c r="O97" s="298"/>
      <c r="P97" s="299"/>
      <c r="Q97" s="300"/>
      <c r="R97" s="300"/>
      <c r="S97" s="301"/>
      <c r="T97" s="291"/>
      <c r="U97" s="302">
        <f t="shared" si="31"/>
        <v>17.861423576717279</v>
      </c>
      <c r="V97" s="138">
        <f t="shared" si="32"/>
        <v>2</v>
      </c>
      <c r="W97" s="303">
        <f>'App 3 - Recycling Rate'!S98</f>
        <v>0.24563415754811704</v>
      </c>
      <c r="Z97" s="527" t="s">
        <v>367</v>
      </c>
      <c r="AA97" s="528">
        <f>SUM(AB97:AD97)</f>
        <v>8341272</v>
      </c>
      <c r="AB97" s="529">
        <f>'App 1 - Services'!F187</f>
        <v>6434099</v>
      </c>
      <c r="AC97" s="529">
        <f>'App 1 - Services'!F216</f>
        <v>851504</v>
      </c>
      <c r="AD97" s="529">
        <f>'App 1 - Services'!F293</f>
        <v>1055669</v>
      </c>
      <c r="AF97" s="610"/>
      <c r="AG97" s="610"/>
      <c r="AH97" s="610"/>
      <c r="AI97" s="610"/>
      <c r="AJ97" s="610"/>
      <c r="AK97" s="610"/>
      <c r="AL97" s="610"/>
      <c r="AM97" s="610"/>
      <c r="AN97" s="610"/>
      <c r="AO97" s="610"/>
      <c r="AP97" s="610"/>
      <c r="AR97" s="574" t="s">
        <v>432</v>
      </c>
      <c r="AS97" s="574" t="s">
        <v>414</v>
      </c>
      <c r="AT97" s="646" t="str">
        <f t="shared" ref="AT97:AU102" si="34">AQ52</f>
        <v>-</v>
      </c>
      <c r="AU97" s="611">
        <f t="shared" si="34"/>
        <v>0</v>
      </c>
    </row>
    <row r="98" spans="1:49" x14ac:dyDescent="0.25">
      <c r="A98" s="8">
        <v>16490</v>
      </c>
      <c r="B98" s="8" t="s">
        <v>146</v>
      </c>
      <c r="C98" s="8" t="s">
        <v>67</v>
      </c>
      <c r="D98" s="29" t="s">
        <v>1</v>
      </c>
      <c r="E98" s="291"/>
      <c r="F98" s="292" t="s">
        <v>288</v>
      </c>
      <c r="G98" s="293" t="s">
        <v>289</v>
      </c>
      <c r="H98" s="294">
        <f>'App 7 - HH &amp; Capita'!G99</f>
        <v>9.5803143696824726</v>
      </c>
      <c r="I98" s="291"/>
      <c r="J98" s="295" t="s">
        <v>288</v>
      </c>
      <c r="K98" s="296" t="s">
        <v>287</v>
      </c>
      <c r="L98" s="297">
        <f>'App 7 - HH &amp; Capita'!L99</f>
        <v>3.3010001741899155</v>
      </c>
      <c r="M98" s="291"/>
      <c r="N98" s="298"/>
      <c r="O98" s="298"/>
      <c r="P98" s="299"/>
      <c r="Q98" s="300" t="s">
        <v>288</v>
      </c>
      <c r="R98" s="300" t="s">
        <v>287</v>
      </c>
      <c r="S98" s="301">
        <v>2.6371454142699999</v>
      </c>
      <c r="T98" s="291"/>
      <c r="U98" s="302">
        <f t="shared" si="31"/>
        <v>15.518459958142389</v>
      </c>
      <c r="V98" s="138">
        <f t="shared" si="32"/>
        <v>4</v>
      </c>
      <c r="W98" s="303">
        <f>'App 3 - Recycling Rate'!S99</f>
        <v>0.41780688609833228</v>
      </c>
      <c r="Z98" s="527" t="s">
        <v>370</v>
      </c>
      <c r="AA98" s="528">
        <f>SUM(AB98:AD98)</f>
        <v>3512643</v>
      </c>
      <c r="AB98" s="529">
        <f>'App 1 - Services'!G187</f>
        <v>2566478</v>
      </c>
      <c r="AC98" s="529">
        <f>'App 1 - Services'!G216</f>
        <v>396778</v>
      </c>
      <c r="AD98" s="529">
        <f>'App 1 - Services'!G293</f>
        <v>549387</v>
      </c>
      <c r="AR98" s="574" t="s">
        <v>433</v>
      </c>
      <c r="AS98" s="574" t="s">
        <v>289</v>
      </c>
      <c r="AT98" s="646">
        <f t="shared" si="34"/>
        <v>6.9804176356043994</v>
      </c>
      <c r="AU98" s="611">
        <f t="shared" si="34"/>
        <v>3</v>
      </c>
    </row>
    <row r="99" spans="1:49" x14ac:dyDescent="0.25">
      <c r="A99" s="8">
        <v>16550</v>
      </c>
      <c r="B99" s="8" t="s">
        <v>59</v>
      </c>
      <c r="C99" s="8" t="s">
        <v>17</v>
      </c>
      <c r="D99" s="29" t="s">
        <v>2</v>
      </c>
      <c r="E99" s="304"/>
      <c r="F99" s="292" t="s">
        <v>288</v>
      </c>
      <c r="G99" s="293" t="s">
        <v>287</v>
      </c>
      <c r="H99" s="294">
        <f>'App 7 - HH &amp; Capita'!G100</f>
        <v>6.7608565352148968</v>
      </c>
      <c r="I99" s="304"/>
      <c r="J99" s="295" t="s">
        <v>288</v>
      </c>
      <c r="K99" s="296" t="s">
        <v>287</v>
      </c>
      <c r="L99" s="297">
        <f>'App 7 - HH &amp; Capita'!L100</f>
        <v>2.9871762756281797</v>
      </c>
      <c r="M99" s="304"/>
      <c r="N99" s="298"/>
      <c r="O99" s="298"/>
      <c r="P99" s="299"/>
      <c r="Q99" s="300" t="s">
        <v>288</v>
      </c>
      <c r="R99" s="300" t="s">
        <v>289</v>
      </c>
      <c r="S99" s="301">
        <v>4.4835541773234997</v>
      </c>
      <c r="T99" s="291"/>
      <c r="U99" s="302">
        <f t="shared" si="31"/>
        <v>14.231586988166576</v>
      </c>
      <c r="V99" s="138">
        <f t="shared" si="32"/>
        <v>4</v>
      </c>
      <c r="W99" s="303">
        <f>'App 3 - Recycling Rate'!S100</f>
        <v>0.59162402937519065</v>
      </c>
      <c r="AF99" s="610" t="s">
        <v>479</v>
      </c>
      <c r="AG99" s="610"/>
      <c r="AH99" s="610"/>
      <c r="AI99" s="610"/>
      <c r="AJ99" s="610"/>
      <c r="AK99" s="610"/>
      <c r="AL99" s="610"/>
      <c r="AM99" s="610"/>
      <c r="AN99" s="610"/>
      <c r="AO99" s="610"/>
      <c r="AP99" s="610"/>
      <c r="AR99" s="574" t="s">
        <v>433</v>
      </c>
      <c r="AS99" s="574" t="s">
        <v>414</v>
      </c>
      <c r="AT99" s="646">
        <f t="shared" si="34"/>
        <v>5.0015348446519994</v>
      </c>
      <c r="AU99" s="611">
        <f t="shared" si="34"/>
        <v>36</v>
      </c>
    </row>
    <row r="100" spans="1:49" x14ac:dyDescent="0.25">
      <c r="A100" s="8">
        <v>16610</v>
      </c>
      <c r="B100" s="8" t="s">
        <v>147</v>
      </c>
      <c r="C100" s="8" t="s">
        <v>19</v>
      </c>
      <c r="D100" s="29" t="s">
        <v>3</v>
      </c>
      <c r="E100" s="291"/>
      <c r="F100" s="292" t="s">
        <v>288</v>
      </c>
      <c r="G100" s="293" t="s">
        <v>287</v>
      </c>
      <c r="H100" s="294">
        <f>'App 7 - HH &amp; Capita'!G101</f>
        <v>8.7269980019980018</v>
      </c>
      <c r="I100" s="291"/>
      <c r="J100" s="295" t="s">
        <v>288</v>
      </c>
      <c r="K100" s="296" t="s">
        <v>287</v>
      </c>
      <c r="L100" s="297">
        <f>'App 7 - HH &amp; Capita'!L101</f>
        <v>3.3034529524255549</v>
      </c>
      <c r="M100" s="291"/>
      <c r="N100" s="298"/>
      <c r="O100" s="298"/>
      <c r="P100" s="299"/>
      <c r="Q100" s="300" t="s">
        <v>288</v>
      </c>
      <c r="R100" s="300" t="s">
        <v>289</v>
      </c>
      <c r="S100" s="301">
        <v>7.6957917656478996</v>
      </c>
      <c r="T100" s="291"/>
      <c r="U100" s="302">
        <f t="shared" si="31"/>
        <v>19.726242720071458</v>
      </c>
      <c r="V100" s="138">
        <f t="shared" si="32"/>
        <v>4</v>
      </c>
      <c r="W100" s="303">
        <f>'App 3 - Recycling Rate'!S101</f>
        <v>0.52592789452030275</v>
      </c>
      <c r="Z100" s="612"/>
      <c r="AA100" s="612" t="s">
        <v>435</v>
      </c>
      <c r="AB100" s="612"/>
      <c r="AC100" s="612"/>
      <c r="AD100" s="612"/>
      <c r="AE100" s="612"/>
      <c r="AR100" s="574" t="s">
        <v>433</v>
      </c>
      <c r="AS100" s="574" t="s">
        <v>293</v>
      </c>
      <c r="AT100" s="646">
        <f t="shared" si="34"/>
        <v>4.4375116275214497</v>
      </c>
      <c r="AU100" s="611">
        <f t="shared" si="34"/>
        <v>2</v>
      </c>
    </row>
    <row r="101" spans="1:49" x14ac:dyDescent="0.25">
      <c r="A101" s="8">
        <v>16700</v>
      </c>
      <c r="B101" s="8" t="s">
        <v>60</v>
      </c>
      <c r="C101" s="8" t="s">
        <v>24</v>
      </c>
      <c r="D101" s="29" t="s">
        <v>2</v>
      </c>
      <c r="E101" s="291"/>
      <c r="F101" s="292" t="s">
        <v>469</v>
      </c>
      <c r="G101" s="293" t="s">
        <v>473</v>
      </c>
      <c r="H101" s="294">
        <f>'App 7 - HH &amp; Capita'!G102</f>
        <v>9.2511583053575706</v>
      </c>
      <c r="I101" s="291"/>
      <c r="J101" s="295" t="s">
        <v>288</v>
      </c>
      <c r="K101" s="296" t="s">
        <v>287</v>
      </c>
      <c r="L101" s="297">
        <f>'App 7 - HH &amp; Capita'!L102</f>
        <v>2.4307460373233929</v>
      </c>
      <c r="M101" s="291"/>
      <c r="N101" s="298" t="s">
        <v>288</v>
      </c>
      <c r="O101" s="298" t="s">
        <v>287</v>
      </c>
      <c r="P101" s="299">
        <v>6.4343385186999997</v>
      </c>
      <c r="Q101" s="300"/>
      <c r="R101" s="300"/>
      <c r="S101" s="301"/>
      <c r="T101" s="291"/>
      <c r="U101" s="302">
        <f t="shared" si="31"/>
        <v>18.116242861380965</v>
      </c>
      <c r="V101" s="138">
        <f t="shared" si="32"/>
        <v>3</v>
      </c>
      <c r="W101" s="303">
        <f>'App 3 - Recycling Rate'!S102</f>
        <v>0.40844647233973203</v>
      </c>
      <c r="AA101" s="520" t="s">
        <v>7</v>
      </c>
      <c r="AB101" s="520" t="s">
        <v>458</v>
      </c>
      <c r="AC101" s="520" t="s">
        <v>460</v>
      </c>
      <c r="AD101" s="520" t="s">
        <v>478</v>
      </c>
      <c r="AF101" s="610"/>
      <c r="AG101" s="610"/>
      <c r="AH101" s="610"/>
      <c r="AI101" s="610"/>
      <c r="AJ101" s="610"/>
      <c r="AK101" s="610"/>
      <c r="AL101" s="610"/>
      <c r="AM101" s="610"/>
      <c r="AN101" s="610"/>
      <c r="AO101" s="610"/>
      <c r="AP101" s="610"/>
      <c r="AR101" s="574" t="s">
        <v>434</v>
      </c>
      <c r="AS101" s="574" t="s">
        <v>414</v>
      </c>
      <c r="AT101" s="646" t="str">
        <f t="shared" si="34"/>
        <v>-</v>
      </c>
      <c r="AU101" s="611">
        <f t="shared" si="34"/>
        <v>0</v>
      </c>
    </row>
    <row r="102" spans="1:49" x14ac:dyDescent="0.25">
      <c r="A102" s="8">
        <v>16900</v>
      </c>
      <c r="B102" s="8" t="s">
        <v>148</v>
      </c>
      <c r="C102" s="8" t="s">
        <v>37</v>
      </c>
      <c r="D102" s="29" t="s">
        <v>2</v>
      </c>
      <c r="E102" s="291"/>
      <c r="F102" s="292" t="s">
        <v>288</v>
      </c>
      <c r="G102" s="293" t="s">
        <v>287</v>
      </c>
      <c r="H102" s="294">
        <f>'App 7 - HH &amp; Capita'!G103</f>
        <v>8.4721456422783934</v>
      </c>
      <c r="I102" s="291"/>
      <c r="J102" s="295" t="s">
        <v>288</v>
      </c>
      <c r="K102" s="296" t="s">
        <v>287</v>
      </c>
      <c r="L102" s="297">
        <f>'App 7 - HH &amp; Capita'!L103</f>
        <v>3.5163890436184855</v>
      </c>
      <c r="M102" s="291"/>
      <c r="N102" s="298"/>
      <c r="O102" s="298"/>
      <c r="P102" s="299"/>
      <c r="Q102" s="300" t="s">
        <v>288</v>
      </c>
      <c r="R102" s="300" t="s">
        <v>289</v>
      </c>
      <c r="S102" s="301">
        <v>8.5585464874787291</v>
      </c>
      <c r="T102" s="291"/>
      <c r="U102" s="302">
        <f t="shared" si="31"/>
        <v>20.547081173375609</v>
      </c>
      <c r="V102" s="138">
        <f t="shared" si="32"/>
        <v>4</v>
      </c>
      <c r="W102" s="303">
        <f>'App 3 - Recycling Rate'!S103</f>
        <v>0.51244285008920709</v>
      </c>
      <c r="Z102" s="582" t="s">
        <v>437</v>
      </c>
      <c r="AA102" s="613">
        <f>SUM(AB102:AD102)</f>
        <v>3033249</v>
      </c>
      <c r="AB102" s="613">
        <f>'App 1 - Services'!M187</f>
        <v>2332481</v>
      </c>
      <c r="AC102" s="613">
        <f>'App 1 - Services'!M216</f>
        <v>297125</v>
      </c>
      <c r="AD102" s="613">
        <f>'App 1 - Services'!M293</f>
        <v>403643</v>
      </c>
      <c r="AE102" s="613"/>
      <c r="AR102" s="574" t="s">
        <v>436</v>
      </c>
      <c r="AS102" s="574" t="s">
        <v>414</v>
      </c>
      <c r="AT102" s="646" t="str">
        <f t="shared" si="34"/>
        <v>-</v>
      </c>
      <c r="AU102" s="611">
        <f t="shared" si="34"/>
        <v>0</v>
      </c>
    </row>
    <row r="103" spans="1:49" x14ac:dyDescent="0.25">
      <c r="A103" s="8">
        <v>16950</v>
      </c>
      <c r="B103" s="8" t="s">
        <v>149</v>
      </c>
      <c r="C103" s="8" t="s">
        <v>37</v>
      </c>
      <c r="D103" s="29" t="s">
        <v>2</v>
      </c>
      <c r="E103" s="291"/>
      <c r="F103" s="292" t="s">
        <v>290</v>
      </c>
      <c r="G103" s="293" t="s">
        <v>289</v>
      </c>
      <c r="H103" s="294">
        <f>'App 7 - HH &amp; Capita'!G104</f>
        <v>11.009443224115889</v>
      </c>
      <c r="I103" s="291"/>
      <c r="J103" s="295" t="s">
        <v>288</v>
      </c>
      <c r="K103" s="296" t="s">
        <v>287</v>
      </c>
      <c r="L103" s="297">
        <f>'App 7 - HH &amp; Capita'!L104</f>
        <v>3.2358720300113788</v>
      </c>
      <c r="M103" s="291"/>
      <c r="N103" s="298"/>
      <c r="O103" s="298"/>
      <c r="P103" s="299"/>
      <c r="Q103" s="300"/>
      <c r="R103" s="300"/>
      <c r="S103" s="301"/>
      <c r="T103" s="291"/>
      <c r="U103" s="302">
        <f t="shared" si="31"/>
        <v>14.245315254127268</v>
      </c>
      <c r="V103" s="138">
        <f t="shared" si="32"/>
        <v>2</v>
      </c>
      <c r="W103" s="303">
        <f>'App 3 - Recycling Rate'!S104</f>
        <v>0.41463098012476185</v>
      </c>
      <c r="Z103" s="582" t="s">
        <v>369</v>
      </c>
      <c r="AA103" s="613">
        <f t="shared" ref="AA103:AA106" si="35">SUM(AB103:AE103)</f>
        <v>2947854</v>
      </c>
      <c r="AB103" s="614">
        <f>'App 1 - Services'!N187</f>
        <v>2258395</v>
      </c>
      <c r="AC103" s="614">
        <f>'App 1 - Services'!N216</f>
        <v>323782</v>
      </c>
      <c r="AD103" s="614">
        <f>'App 1 - Services'!N293</f>
        <v>365677</v>
      </c>
      <c r="AE103" s="614"/>
      <c r="AF103" s="610"/>
      <c r="AG103" s="610"/>
      <c r="AH103" s="610"/>
      <c r="AI103" s="610"/>
      <c r="AJ103" s="610"/>
      <c r="AK103" s="610"/>
      <c r="AL103" s="610"/>
      <c r="AM103" s="610"/>
      <c r="AN103" s="610"/>
      <c r="AO103" s="610"/>
      <c r="AP103" s="610"/>
    </row>
    <row r="104" spans="1:49" x14ac:dyDescent="0.25">
      <c r="A104" s="8">
        <v>17000</v>
      </c>
      <c r="B104" s="8" t="s">
        <v>150</v>
      </c>
      <c r="C104" s="8" t="s">
        <v>23</v>
      </c>
      <c r="D104" s="29" t="s">
        <v>3</v>
      </c>
      <c r="E104" s="291"/>
      <c r="F104" s="292" t="s">
        <v>288</v>
      </c>
      <c r="G104" s="293" t="s">
        <v>289</v>
      </c>
      <c r="H104" s="294">
        <f>'App 7 - HH &amp; Capita'!G105</f>
        <v>12.457623655562458</v>
      </c>
      <c r="I104" s="291"/>
      <c r="J104" s="295" t="s">
        <v>288</v>
      </c>
      <c r="K104" s="296" t="s">
        <v>287</v>
      </c>
      <c r="L104" s="297">
        <f>'App 7 - HH &amp; Capita'!L105</f>
        <v>3.2256681112314918</v>
      </c>
      <c r="M104" s="291"/>
      <c r="N104" s="298" t="s">
        <v>288</v>
      </c>
      <c r="O104" s="298" t="s">
        <v>287</v>
      </c>
      <c r="P104" s="299">
        <v>4.752357831168105</v>
      </c>
      <c r="Q104" s="300"/>
      <c r="R104" s="300"/>
      <c r="S104" s="301"/>
      <c r="T104" s="291"/>
      <c r="U104" s="302">
        <f t="shared" si="31"/>
        <v>20.435649597962055</v>
      </c>
      <c r="V104" s="138">
        <f t="shared" si="32"/>
        <v>3</v>
      </c>
      <c r="W104" s="303">
        <f>'App 3 - Recycling Rate'!S105</f>
        <v>0.37089478485631738</v>
      </c>
      <c r="Z104" s="582" t="s">
        <v>438</v>
      </c>
      <c r="AA104" s="613">
        <f t="shared" si="35"/>
        <v>1447520</v>
      </c>
      <c r="AB104" s="614">
        <f>'App 1 - Services'!O187</f>
        <v>1220937</v>
      </c>
      <c r="AC104" s="614">
        <f>'App 1 - Services'!O216</f>
        <v>167501</v>
      </c>
      <c r="AD104" s="614">
        <f>'App 1 - Services'!O293</f>
        <v>59082</v>
      </c>
      <c r="AE104" s="614"/>
      <c r="AF104" s="376"/>
      <c r="AG104" s="376"/>
      <c r="AH104" s="376"/>
      <c r="AI104" s="376"/>
      <c r="AJ104" s="376"/>
      <c r="AK104" s="376"/>
      <c r="AL104" s="376"/>
      <c r="AM104" s="376"/>
      <c r="AN104" s="376"/>
      <c r="AO104" s="376"/>
      <c r="AP104" s="376"/>
      <c r="AQ104" s="376"/>
      <c r="AR104" s="376"/>
      <c r="AS104" s="376"/>
      <c r="AT104" s="376"/>
      <c r="AU104" s="376"/>
    </row>
    <row r="105" spans="1:49" x14ac:dyDescent="0.25">
      <c r="A105" s="8">
        <v>17040</v>
      </c>
      <c r="B105" s="8" t="s">
        <v>151</v>
      </c>
      <c r="C105" s="8" t="s">
        <v>67</v>
      </c>
      <c r="D105" s="29" t="s">
        <v>1</v>
      </c>
      <c r="E105" s="291"/>
      <c r="F105" s="292" t="s">
        <v>469</v>
      </c>
      <c r="G105" s="293" t="s">
        <v>289</v>
      </c>
      <c r="H105" s="294">
        <f>'App 7 - HH &amp; Capita'!G106</f>
        <v>9.3328717187291801</v>
      </c>
      <c r="I105" s="291"/>
      <c r="J105" s="295" t="s">
        <v>291</v>
      </c>
      <c r="K105" s="296" t="s">
        <v>287</v>
      </c>
      <c r="L105" s="297">
        <f>'App 7 - HH &amp; Capita'!L106</f>
        <v>3.2405396022417299</v>
      </c>
      <c r="M105" s="291"/>
      <c r="N105" s="298"/>
      <c r="O105" s="298"/>
      <c r="P105" s="299"/>
      <c r="Q105" s="300" t="s">
        <v>288</v>
      </c>
      <c r="R105" s="300" t="s">
        <v>287</v>
      </c>
      <c r="S105" s="301">
        <v>4.1548849256671074</v>
      </c>
      <c r="T105" s="291"/>
      <c r="U105" s="302">
        <f t="shared" si="31"/>
        <v>16.728296246638017</v>
      </c>
      <c r="V105" s="138">
        <f t="shared" si="32"/>
        <v>4</v>
      </c>
      <c r="W105" s="303">
        <f>'App 3 - Recycling Rate'!S106</f>
        <v>0.70158425750267128</v>
      </c>
      <c r="Z105" s="582" t="s">
        <v>278</v>
      </c>
      <c r="AA105" s="613">
        <f t="shared" si="35"/>
        <v>753113</v>
      </c>
      <c r="AB105" s="614">
        <f>'App 1 - Services'!P187</f>
        <v>362246</v>
      </c>
      <c r="AC105" s="614">
        <f>'App 1 - Services'!P216</f>
        <v>173367</v>
      </c>
      <c r="AD105" s="614">
        <f>'App 1 - Services'!P293</f>
        <v>217500</v>
      </c>
      <c r="AE105" s="614"/>
      <c r="AF105" s="376"/>
      <c r="AG105" s="376"/>
      <c r="AH105" s="376"/>
      <c r="AI105" s="376"/>
      <c r="AJ105" s="376"/>
      <c r="AK105" s="376"/>
      <c r="AL105" s="376"/>
      <c r="AM105" s="376"/>
      <c r="AN105" s="376"/>
      <c r="AO105" s="376"/>
      <c r="AP105" s="376"/>
      <c r="AQ105" s="376"/>
      <c r="AR105" s="376"/>
      <c r="AS105" s="376"/>
      <c r="AT105" s="376"/>
      <c r="AU105" s="376"/>
    </row>
    <row r="106" spans="1:49" x14ac:dyDescent="0.25">
      <c r="A106" s="8">
        <v>17080</v>
      </c>
      <c r="B106" s="8" t="s">
        <v>152</v>
      </c>
      <c r="C106" s="8" t="s">
        <v>67</v>
      </c>
      <c r="D106" s="29" t="s">
        <v>1</v>
      </c>
      <c r="E106" s="291"/>
      <c r="F106" s="292" t="s">
        <v>286</v>
      </c>
      <c r="G106" s="293" t="s">
        <v>287</v>
      </c>
      <c r="H106" s="294">
        <f>'App 7 - HH &amp; Capita'!G107</f>
        <v>17.64193128431539</v>
      </c>
      <c r="I106" s="291"/>
      <c r="J106" s="295" t="s">
        <v>288</v>
      </c>
      <c r="K106" s="296" t="s">
        <v>287</v>
      </c>
      <c r="L106" s="297">
        <f>'App 7 - HH &amp; Capita'!L107</f>
        <v>5.1296201958453613</v>
      </c>
      <c r="M106" s="291"/>
      <c r="N106" s="298"/>
      <c r="O106" s="298"/>
      <c r="P106" s="299"/>
      <c r="Q106" s="300" t="s">
        <v>288</v>
      </c>
      <c r="R106" s="300" t="s">
        <v>289</v>
      </c>
      <c r="S106" s="301">
        <v>5.8951364125251997</v>
      </c>
      <c r="T106" s="291"/>
      <c r="U106" s="302">
        <f t="shared" si="31"/>
        <v>28.666687892685953</v>
      </c>
      <c r="V106" s="138">
        <f t="shared" si="32"/>
        <v>4</v>
      </c>
      <c r="W106" s="303">
        <f>'App 3 - Recycling Rate'!S107</f>
        <v>0.3986566929487611</v>
      </c>
      <c r="Z106" s="582" t="s">
        <v>439</v>
      </c>
      <c r="AA106" s="613">
        <f t="shared" si="35"/>
        <v>2200633</v>
      </c>
      <c r="AB106" s="615">
        <f>SUM(AB104:AB105)</f>
        <v>1583183</v>
      </c>
      <c r="AC106" s="615">
        <f>SUM(AC104:AC105)</f>
        <v>340868</v>
      </c>
      <c r="AD106" s="615">
        <f>SUM(AD104:AD105)</f>
        <v>276582</v>
      </c>
      <c r="AE106" s="615"/>
      <c r="AF106" s="376"/>
      <c r="AG106" s="376"/>
      <c r="AH106" s="376"/>
      <c r="AI106" s="376"/>
      <c r="AJ106" s="376"/>
      <c r="AK106" s="376"/>
      <c r="AL106" s="376"/>
      <c r="AM106" s="376"/>
      <c r="AN106" s="376"/>
      <c r="AO106" s="376"/>
      <c r="AP106" s="376"/>
      <c r="AQ106" s="376"/>
      <c r="AR106" s="376"/>
      <c r="AS106" s="376"/>
      <c r="AT106" s="376"/>
      <c r="AU106" s="376"/>
      <c r="AV106" s="376"/>
      <c r="AW106" s="582"/>
    </row>
    <row r="107" spans="1:49" x14ac:dyDescent="0.25">
      <c r="A107" s="8">
        <v>17100</v>
      </c>
      <c r="B107" s="8" t="s">
        <v>153</v>
      </c>
      <c r="C107" s="8"/>
      <c r="D107" s="29" t="s">
        <v>2</v>
      </c>
      <c r="E107" s="291"/>
      <c r="F107" s="292" t="s">
        <v>288</v>
      </c>
      <c r="G107" s="293" t="s">
        <v>289</v>
      </c>
      <c r="H107" s="294">
        <f>'App 7 - HH &amp; Capita'!G108</f>
        <v>9.4433162024756854</v>
      </c>
      <c r="I107" s="291"/>
      <c r="J107" s="295" t="s">
        <v>288</v>
      </c>
      <c r="K107" s="296" t="s">
        <v>287</v>
      </c>
      <c r="L107" s="297">
        <f>'App 7 - HH &amp; Capita'!L108</f>
        <v>2.0103031210665754</v>
      </c>
      <c r="M107" s="291"/>
      <c r="N107" s="298" t="s">
        <v>288</v>
      </c>
      <c r="O107" s="298" t="s">
        <v>287</v>
      </c>
      <c r="P107" s="299">
        <v>8.233789183557743</v>
      </c>
      <c r="Q107" s="300"/>
      <c r="R107" s="300"/>
      <c r="S107" s="301"/>
      <c r="T107" s="291"/>
      <c r="U107" s="302">
        <f t="shared" si="31"/>
        <v>19.687408507100002</v>
      </c>
      <c r="V107" s="138">
        <f t="shared" si="32"/>
        <v>3</v>
      </c>
      <c r="W107" s="303">
        <f>'App 3 - Recycling Rate'!S108</f>
        <v>0.27058029919301396</v>
      </c>
      <c r="Z107" s="376"/>
      <c r="AA107" s="376"/>
      <c r="AB107" s="376"/>
      <c r="AC107" s="376"/>
      <c r="AD107" s="376"/>
      <c r="AE107" s="376"/>
      <c r="AF107" s="376"/>
      <c r="AG107" s="376"/>
      <c r="AH107" s="376"/>
      <c r="AI107" s="376"/>
      <c r="AJ107" s="376"/>
      <c r="AK107" s="376"/>
      <c r="AL107" s="376"/>
      <c r="AM107" s="376"/>
      <c r="AN107" s="376"/>
      <c r="AO107" s="376"/>
      <c r="AP107" s="376"/>
      <c r="AQ107" s="376"/>
      <c r="AR107" s="376"/>
      <c r="AS107" s="376"/>
      <c r="AT107" s="376"/>
      <c r="AU107" s="376"/>
      <c r="AV107" s="376"/>
      <c r="AW107" s="570"/>
    </row>
    <row r="108" spans="1:49" x14ac:dyDescent="0.25">
      <c r="A108" s="8">
        <v>17150</v>
      </c>
      <c r="B108" s="8" t="s">
        <v>154</v>
      </c>
      <c r="C108" s="8" t="s">
        <v>17</v>
      </c>
      <c r="D108" s="29" t="s">
        <v>2</v>
      </c>
      <c r="E108" s="291"/>
      <c r="F108" s="292" t="s">
        <v>288</v>
      </c>
      <c r="G108" s="293" t="s">
        <v>289</v>
      </c>
      <c r="H108" s="294">
        <f>'App 7 - HH &amp; Capita'!G109</f>
        <v>10.577999181716603</v>
      </c>
      <c r="I108" s="291"/>
      <c r="J108" s="295" t="s">
        <v>288</v>
      </c>
      <c r="K108" s="296" t="s">
        <v>287</v>
      </c>
      <c r="L108" s="297">
        <f>'App 7 - HH &amp; Capita'!L109</f>
        <v>3.9689407312542544</v>
      </c>
      <c r="M108" s="291"/>
      <c r="N108" s="298" t="s">
        <v>288</v>
      </c>
      <c r="O108" s="298" t="s">
        <v>287</v>
      </c>
      <c r="P108" s="299">
        <v>1.158888733173</v>
      </c>
      <c r="Q108" s="300"/>
      <c r="R108" s="300"/>
      <c r="S108" s="301"/>
      <c r="T108" s="291"/>
      <c r="U108" s="302">
        <f t="shared" si="31"/>
        <v>15.705828646143857</v>
      </c>
      <c r="V108" s="138">
        <f t="shared" si="32"/>
        <v>3</v>
      </c>
      <c r="W108" s="303">
        <f>'App 3 - Recycling Rate'!S109</f>
        <v>0.46628976765514796</v>
      </c>
      <c r="Z108" s="376"/>
      <c r="AA108" s="376"/>
      <c r="AB108" s="376"/>
      <c r="AC108" s="376"/>
      <c r="AD108" s="376"/>
      <c r="AE108" s="376"/>
      <c r="AF108" s="376"/>
      <c r="AG108" s="376"/>
      <c r="AH108" s="376"/>
      <c r="AI108" s="376"/>
      <c r="AJ108" s="376"/>
      <c r="AK108" s="376"/>
      <c r="AL108" s="376"/>
      <c r="AM108" s="376"/>
      <c r="AN108" s="376"/>
      <c r="AO108" s="376"/>
      <c r="AP108" s="376"/>
      <c r="AQ108" s="376"/>
      <c r="AR108" s="376"/>
      <c r="AS108" s="376"/>
      <c r="AT108" s="376"/>
      <c r="AU108" s="376"/>
      <c r="AV108" s="376"/>
      <c r="AW108" s="570"/>
    </row>
    <row r="109" spans="1:49" x14ac:dyDescent="0.25">
      <c r="A109" s="8">
        <v>17200</v>
      </c>
      <c r="B109" s="8" t="s">
        <v>61</v>
      </c>
      <c r="C109" s="8" t="s">
        <v>17</v>
      </c>
      <c r="D109" s="29" t="s">
        <v>2</v>
      </c>
      <c r="E109" s="291"/>
      <c r="F109" s="292" t="s">
        <v>288</v>
      </c>
      <c r="G109" s="293" t="s">
        <v>473</v>
      </c>
      <c r="H109" s="294">
        <f>'App 7 - HH &amp; Capita'!G110</f>
        <v>6.9555147929987404</v>
      </c>
      <c r="I109" s="291"/>
      <c r="J109" s="295" t="s">
        <v>288</v>
      </c>
      <c r="K109" s="296" t="s">
        <v>289</v>
      </c>
      <c r="L109" s="297">
        <f>'App 7 - HH &amp; Capita'!L110</f>
        <v>1.5514241730558753</v>
      </c>
      <c r="M109" s="291"/>
      <c r="N109" s="298" t="s">
        <v>288</v>
      </c>
      <c r="O109" s="298" t="s">
        <v>287</v>
      </c>
      <c r="P109" s="299">
        <v>0.61332596154999997</v>
      </c>
      <c r="Q109" s="300"/>
      <c r="R109" s="300"/>
      <c r="S109" s="301"/>
      <c r="T109" s="291"/>
      <c r="U109" s="302">
        <f t="shared" si="31"/>
        <v>9.1202649276046159</v>
      </c>
      <c r="V109" s="138">
        <f t="shared" si="32"/>
        <v>3</v>
      </c>
      <c r="W109" s="303">
        <f>'App 3 - Recycling Rate'!S110</f>
        <v>0.50074290394199639</v>
      </c>
      <c r="Z109" s="376"/>
      <c r="AA109" s="376"/>
      <c r="AB109" s="376"/>
      <c r="AC109" s="376"/>
      <c r="AD109" s="376"/>
      <c r="AE109" s="376"/>
      <c r="AF109" s="376"/>
      <c r="AG109" s="376"/>
      <c r="AH109" s="376"/>
      <c r="AI109" s="376"/>
      <c r="AJ109" s="376"/>
      <c r="AK109" s="376"/>
      <c r="AL109" s="376"/>
      <c r="AM109" s="376"/>
      <c r="AN109" s="376"/>
      <c r="AO109" s="376"/>
      <c r="AP109" s="376"/>
      <c r="AQ109" s="376"/>
      <c r="AR109" s="376"/>
      <c r="AS109" s="376"/>
      <c r="AT109" s="376"/>
      <c r="AU109" s="376"/>
      <c r="AV109" s="376"/>
      <c r="AW109" s="570"/>
    </row>
    <row r="110" spans="1:49" x14ac:dyDescent="0.25">
      <c r="A110" s="8">
        <v>17310</v>
      </c>
      <c r="B110" s="8" t="s">
        <v>155</v>
      </c>
      <c r="C110" s="8" t="s">
        <v>16</v>
      </c>
      <c r="D110" s="29" t="s">
        <v>1</v>
      </c>
      <c r="E110" s="291"/>
      <c r="F110" s="292" t="s">
        <v>288</v>
      </c>
      <c r="G110" s="293" t="s">
        <v>289</v>
      </c>
      <c r="H110" s="294">
        <f>'App 7 - HH &amp; Capita'!G111</f>
        <v>11.950729910242631</v>
      </c>
      <c r="I110" s="291"/>
      <c r="J110" s="295" t="s">
        <v>288</v>
      </c>
      <c r="K110" s="296" t="s">
        <v>287</v>
      </c>
      <c r="L110" s="297">
        <f>'App 7 - HH &amp; Capita'!L111</f>
        <v>3.0150815184180293</v>
      </c>
      <c r="M110" s="291"/>
      <c r="N110" s="298" t="s">
        <v>288</v>
      </c>
      <c r="O110" s="298" t="s">
        <v>287</v>
      </c>
      <c r="P110" s="299">
        <v>4.2337548572810997</v>
      </c>
      <c r="Q110" s="300"/>
      <c r="R110" s="300"/>
      <c r="S110" s="301"/>
      <c r="T110" s="291"/>
      <c r="U110" s="302">
        <f t="shared" si="31"/>
        <v>19.19956628594176</v>
      </c>
      <c r="V110" s="138">
        <f t="shared" si="32"/>
        <v>3</v>
      </c>
      <c r="W110" s="303">
        <f>'App 3 - Recycling Rate'!S111</f>
        <v>0.43156336661796818</v>
      </c>
      <c r="Z110" s="376"/>
      <c r="AA110" s="376"/>
      <c r="AB110" s="376"/>
      <c r="AC110" s="376"/>
      <c r="AD110" s="376"/>
      <c r="AE110" s="376"/>
      <c r="AF110" s="376"/>
      <c r="AG110" s="376"/>
      <c r="AH110" s="376"/>
      <c r="AI110" s="376"/>
      <c r="AJ110" s="376"/>
      <c r="AK110" s="376"/>
      <c r="AL110" s="376"/>
      <c r="AM110" s="376"/>
      <c r="AN110" s="376"/>
      <c r="AO110" s="376"/>
      <c r="AP110" s="376"/>
      <c r="AQ110" s="376"/>
      <c r="AR110" s="376"/>
      <c r="AS110" s="376"/>
      <c r="AT110" s="376"/>
      <c r="AU110" s="376"/>
      <c r="AV110" s="376"/>
    </row>
    <row r="111" spans="1:49" x14ac:dyDescent="0.25">
      <c r="A111" s="8">
        <v>17350</v>
      </c>
      <c r="B111" s="8" t="s">
        <v>156</v>
      </c>
      <c r="C111" s="8" t="s">
        <v>21</v>
      </c>
      <c r="D111" s="29" t="s">
        <v>1</v>
      </c>
      <c r="E111" s="291"/>
      <c r="F111" s="292" t="s">
        <v>288</v>
      </c>
      <c r="G111" s="293" t="s">
        <v>289</v>
      </c>
      <c r="H111" s="294">
        <f>'App 7 - HH &amp; Capita'!G112</f>
        <v>17.573208913991035</v>
      </c>
      <c r="I111" s="291"/>
      <c r="J111" s="295"/>
      <c r="K111" s="296"/>
      <c r="L111" s="297"/>
      <c r="M111" s="291"/>
      <c r="N111" s="298"/>
      <c r="O111" s="298"/>
      <c r="P111" s="299"/>
      <c r="Q111" s="300"/>
      <c r="R111" s="300"/>
      <c r="S111" s="301"/>
      <c r="T111" s="291"/>
      <c r="U111" s="302">
        <f t="shared" si="31"/>
        <v>17.573208913991035</v>
      </c>
      <c r="V111" s="138">
        <f t="shared" si="32"/>
        <v>1</v>
      </c>
      <c r="W111" s="303">
        <f>'App 3 - Recycling Rate'!S112</f>
        <v>0.15838708235889948</v>
      </c>
      <c r="AM111" s="616"/>
      <c r="AN111" s="616"/>
      <c r="AP111" s="376"/>
      <c r="AQ111" s="376"/>
      <c r="AR111" s="376"/>
      <c r="AS111" s="376"/>
      <c r="AT111" s="376"/>
      <c r="AU111" s="376"/>
      <c r="AV111" s="376"/>
    </row>
    <row r="112" spans="1:49" x14ac:dyDescent="0.25">
      <c r="A112" s="8">
        <v>17400</v>
      </c>
      <c r="B112" s="8" t="s">
        <v>157</v>
      </c>
      <c r="C112" s="8" t="s">
        <v>16</v>
      </c>
      <c r="D112" s="29" t="s">
        <v>1</v>
      </c>
      <c r="E112" s="291"/>
      <c r="F112" s="292" t="s">
        <v>288</v>
      </c>
      <c r="G112" s="293" t="s">
        <v>289</v>
      </c>
      <c r="H112" s="294">
        <f>'App 7 - HH &amp; Capita'!G113</f>
        <v>17.994328860166839</v>
      </c>
      <c r="I112" s="291"/>
      <c r="J112" s="295" t="s">
        <v>288</v>
      </c>
      <c r="K112" s="296" t="s">
        <v>287</v>
      </c>
      <c r="L112" s="297">
        <f>'App 7 - HH &amp; Capita'!L113</f>
        <v>4.4577408813918575</v>
      </c>
      <c r="M112" s="291"/>
      <c r="N112" s="298"/>
      <c r="O112" s="298"/>
      <c r="P112" s="299"/>
      <c r="Q112" s="300"/>
      <c r="R112" s="300"/>
      <c r="S112" s="301"/>
      <c r="T112" s="291"/>
      <c r="U112" s="302">
        <f t="shared" si="31"/>
        <v>22.452069741558695</v>
      </c>
      <c r="V112" s="138">
        <f t="shared" si="32"/>
        <v>2</v>
      </c>
      <c r="W112" s="303">
        <f>'App 3 - Recycling Rate'!S113</f>
        <v>0.35541375707598682</v>
      </c>
      <c r="AP112" s="376"/>
      <c r="AQ112" s="376"/>
      <c r="AR112" s="376"/>
      <c r="AS112" s="376"/>
      <c r="AT112" s="376"/>
      <c r="AU112" s="376"/>
      <c r="AV112" s="376"/>
    </row>
    <row r="113" spans="1:63" x14ac:dyDescent="0.25">
      <c r="A113" s="8">
        <v>17420</v>
      </c>
      <c r="B113" s="8" t="s">
        <v>158</v>
      </c>
      <c r="C113" s="8" t="s">
        <v>18</v>
      </c>
      <c r="D113" s="29" t="s">
        <v>2</v>
      </c>
      <c r="E113" s="291"/>
      <c r="F113" s="292" t="s">
        <v>288</v>
      </c>
      <c r="G113" s="293" t="s">
        <v>289</v>
      </c>
      <c r="H113" s="294">
        <f>'App 7 - HH &amp; Capita'!G114</f>
        <v>13.974805990585773</v>
      </c>
      <c r="I113" s="291"/>
      <c r="J113" s="295" t="s">
        <v>288</v>
      </c>
      <c r="K113" s="296" t="s">
        <v>287</v>
      </c>
      <c r="L113" s="297">
        <f>'App 7 - HH &amp; Capita'!L114</f>
        <v>3.8074715041471268</v>
      </c>
      <c r="M113" s="291"/>
      <c r="N113" s="298" t="s">
        <v>288</v>
      </c>
      <c r="O113" s="298" t="s">
        <v>287</v>
      </c>
      <c r="P113" s="299">
        <v>7.2722934124986001</v>
      </c>
      <c r="Q113" s="300"/>
      <c r="R113" s="300"/>
      <c r="S113" s="301"/>
      <c r="T113" s="291"/>
      <c r="U113" s="302">
        <f t="shared" si="31"/>
        <v>25.054570907231501</v>
      </c>
      <c r="V113" s="138">
        <f t="shared" si="32"/>
        <v>3</v>
      </c>
      <c r="W113" s="303">
        <f>'App 3 - Recycling Rate'!S114</f>
        <v>0.38708245600927499</v>
      </c>
      <c r="AP113" s="376"/>
      <c r="AQ113" s="376"/>
      <c r="AR113" s="376"/>
      <c r="AS113" s="376"/>
      <c r="AT113" s="376"/>
      <c r="AU113" s="376"/>
      <c r="AV113" s="376"/>
    </row>
    <row r="114" spans="1:63" x14ac:dyDescent="0.25">
      <c r="A114" s="8">
        <v>17550</v>
      </c>
      <c r="B114" s="8" t="s">
        <v>159</v>
      </c>
      <c r="C114" s="8" t="s">
        <v>19</v>
      </c>
      <c r="D114" s="29" t="s">
        <v>3</v>
      </c>
      <c r="E114" s="291"/>
      <c r="F114" s="292" t="s">
        <v>469</v>
      </c>
      <c r="G114" s="293" t="s">
        <v>287</v>
      </c>
      <c r="H114" s="294">
        <f>'App 7 - HH &amp; Capita'!G115</f>
        <v>1258.6538461538462</v>
      </c>
      <c r="I114" s="291"/>
      <c r="J114" s="295" t="s">
        <v>288</v>
      </c>
      <c r="K114" s="296" t="s">
        <v>287</v>
      </c>
      <c r="L114" s="297">
        <f>'App 7 - HH &amp; Capita'!L115</f>
        <v>4.3906985871271589</v>
      </c>
      <c r="M114" s="291"/>
      <c r="N114" s="298"/>
      <c r="O114" s="298"/>
      <c r="P114" s="299"/>
      <c r="Q114" s="300" t="s">
        <v>288</v>
      </c>
      <c r="R114" s="300" t="s">
        <v>289</v>
      </c>
      <c r="S114" s="301">
        <v>8.6658461546936998</v>
      </c>
      <c r="T114" s="291"/>
      <c r="U114" s="302">
        <f t="shared" si="31"/>
        <v>1271.7103908956672</v>
      </c>
      <c r="V114" s="138">
        <f t="shared" si="32"/>
        <v>4</v>
      </c>
      <c r="W114" s="303">
        <f>'App 3 - Recycling Rate'!S115</f>
        <v>0.53808696591049221</v>
      </c>
      <c r="AP114" s="376"/>
      <c r="AQ114" s="376"/>
      <c r="AR114" s="376"/>
      <c r="AS114" s="376"/>
      <c r="AT114" s="376"/>
      <c r="AU114" s="376"/>
      <c r="AV114" s="376"/>
    </row>
    <row r="115" spans="1:63" x14ac:dyDescent="0.25">
      <c r="A115" s="8">
        <v>17620</v>
      </c>
      <c r="B115" s="8" t="s">
        <v>160</v>
      </c>
      <c r="C115" s="8" t="s">
        <v>23</v>
      </c>
      <c r="D115" s="29" t="s">
        <v>3</v>
      </c>
      <c r="E115" s="291"/>
      <c r="F115" s="292" t="s">
        <v>288</v>
      </c>
      <c r="G115" s="293" t="s">
        <v>289</v>
      </c>
      <c r="H115" s="294">
        <f>'App 7 - HH &amp; Capita'!G116</f>
        <v>8.0892817017451879</v>
      </c>
      <c r="I115" s="291"/>
      <c r="J115" s="295" t="s">
        <v>288</v>
      </c>
      <c r="K115" s="296" t="s">
        <v>287</v>
      </c>
      <c r="L115" s="297">
        <f>'App 7 - HH &amp; Capita'!L116</f>
        <v>3.1659237093365826</v>
      </c>
      <c r="M115" s="291"/>
      <c r="N115" s="298"/>
      <c r="O115" s="298"/>
      <c r="P115" s="299"/>
      <c r="Q115" s="300" t="s">
        <v>288</v>
      </c>
      <c r="R115" s="300" t="s">
        <v>289</v>
      </c>
      <c r="S115" s="301"/>
      <c r="T115" s="291"/>
      <c r="U115" s="302">
        <f t="shared" si="31"/>
        <v>11.255205411081771</v>
      </c>
      <c r="V115" s="138">
        <f t="shared" si="32"/>
        <v>4</v>
      </c>
      <c r="W115" s="303">
        <f>'App 3 - Recycling Rate'!S116</f>
        <v>0.53243725976953615</v>
      </c>
      <c r="AP115" s="376"/>
      <c r="AQ115" s="376"/>
      <c r="AR115" s="376"/>
      <c r="AS115" s="376"/>
      <c r="AT115" s="376"/>
      <c r="AU115" s="376"/>
      <c r="AV115" s="376"/>
    </row>
    <row r="116" spans="1:63" x14ac:dyDescent="0.25">
      <c r="A116" s="8">
        <v>17640</v>
      </c>
      <c r="B116" s="8" t="s">
        <v>161</v>
      </c>
      <c r="C116" s="8" t="s">
        <v>67</v>
      </c>
      <c r="D116" s="29" t="s">
        <v>1</v>
      </c>
      <c r="E116" s="291"/>
      <c r="F116" s="292" t="s">
        <v>290</v>
      </c>
      <c r="G116" s="293" t="s">
        <v>289</v>
      </c>
      <c r="H116" s="294">
        <f>'App 7 - HH &amp; Capita'!G117</f>
        <v>26.714275687815835</v>
      </c>
      <c r="I116" s="291"/>
      <c r="J116" s="295" t="s">
        <v>288</v>
      </c>
      <c r="K116" s="296" t="s">
        <v>287</v>
      </c>
      <c r="L116" s="297">
        <f>'App 7 - HH &amp; Capita'!L117</f>
        <v>4.562043795620438</v>
      </c>
      <c r="M116" s="291"/>
      <c r="N116" s="298" t="s">
        <v>288</v>
      </c>
      <c r="O116" s="298" t="s">
        <v>287</v>
      </c>
      <c r="P116" s="299">
        <v>2.2812189781219998</v>
      </c>
      <c r="Q116" s="300"/>
      <c r="R116" s="300"/>
      <c r="S116" s="301"/>
      <c r="T116" s="291"/>
      <c r="U116" s="302">
        <f t="shared" si="31"/>
        <v>33.557538461558273</v>
      </c>
      <c r="V116" s="138">
        <f t="shared" si="32"/>
        <v>3</v>
      </c>
      <c r="W116" s="303">
        <f>'App 3 - Recycling Rate'!S117</f>
        <v>9.3806875374932625E-2</v>
      </c>
      <c r="AM116" s="616"/>
      <c r="AN116" s="616"/>
      <c r="AO116" s="616"/>
      <c r="AP116" s="376"/>
      <c r="AQ116" s="376"/>
      <c r="AR116" s="376"/>
      <c r="AS116" s="376"/>
      <c r="AT116" s="376"/>
      <c r="AU116" s="376"/>
      <c r="AV116" s="376"/>
      <c r="AW116" s="376"/>
      <c r="AX116" s="376"/>
      <c r="AY116" s="376"/>
      <c r="AZ116" s="376"/>
      <c r="BA116" s="376"/>
      <c r="BB116" s="376"/>
      <c r="BC116" s="376"/>
      <c r="BD116" s="376"/>
      <c r="BE116" s="376"/>
      <c r="BF116" s="376"/>
      <c r="BG116" s="376"/>
      <c r="BH116" s="376"/>
      <c r="BI116" s="376"/>
      <c r="BJ116" s="376"/>
      <c r="BK116" s="376"/>
    </row>
    <row r="117" spans="1:63" x14ac:dyDescent="0.25">
      <c r="A117" s="8">
        <v>17650</v>
      </c>
      <c r="B117" s="8" t="s">
        <v>162</v>
      </c>
      <c r="C117" s="8" t="s">
        <v>16</v>
      </c>
      <c r="D117" s="29" t="s">
        <v>1</v>
      </c>
      <c r="E117" s="291"/>
      <c r="F117" s="292" t="s">
        <v>286</v>
      </c>
      <c r="G117" s="293" t="s">
        <v>289</v>
      </c>
      <c r="H117" s="294">
        <f>'App 7 - HH &amp; Capita'!G118</f>
        <v>10.693010693010693</v>
      </c>
      <c r="I117" s="291"/>
      <c r="J117" s="295" t="s">
        <v>288</v>
      </c>
      <c r="K117" s="296" t="s">
        <v>289</v>
      </c>
      <c r="L117" s="297">
        <f>'App 7 - HH &amp; Capita'!L118</f>
        <v>4.4371245882580892</v>
      </c>
      <c r="M117" s="291"/>
      <c r="N117" s="298" t="s">
        <v>288</v>
      </c>
      <c r="O117" s="298" t="s">
        <v>293</v>
      </c>
      <c r="P117" s="299">
        <v>6.3224446786959998</v>
      </c>
      <c r="Q117" s="300"/>
      <c r="R117" s="300"/>
      <c r="S117" s="301"/>
      <c r="T117" s="291"/>
      <c r="U117" s="302">
        <f t="shared" si="31"/>
        <v>21.45257995996478</v>
      </c>
      <c r="V117" s="138">
        <f t="shared" si="32"/>
        <v>3</v>
      </c>
      <c r="W117" s="303">
        <f>'App 3 - Recycling Rate'!S118</f>
        <v>0.63377772724257841</v>
      </c>
      <c r="AP117" s="376"/>
      <c r="AQ117" s="376"/>
      <c r="AR117" s="376"/>
      <c r="AS117" s="376"/>
      <c r="AT117" s="376"/>
      <c r="AU117" s="376"/>
      <c r="AV117" s="376"/>
      <c r="AW117" s="376"/>
      <c r="AX117" s="376"/>
      <c r="AY117" s="376"/>
      <c r="AZ117" s="376"/>
      <c r="BA117" s="376"/>
      <c r="BB117" s="376"/>
      <c r="BC117" s="376"/>
      <c r="BD117" s="376"/>
      <c r="BE117" s="376"/>
      <c r="BF117" s="376"/>
      <c r="BG117" s="376"/>
      <c r="BH117" s="376"/>
      <c r="BI117" s="376"/>
      <c r="BJ117" s="376"/>
      <c r="BK117" s="376"/>
    </row>
    <row r="118" spans="1:63" x14ac:dyDescent="0.25">
      <c r="A118" s="8">
        <v>17750</v>
      </c>
      <c r="B118" s="8" t="s">
        <v>163</v>
      </c>
      <c r="C118" s="8" t="s">
        <v>21</v>
      </c>
      <c r="D118" s="29" t="s">
        <v>1</v>
      </c>
      <c r="E118" s="291"/>
      <c r="F118" s="292" t="s">
        <v>286</v>
      </c>
      <c r="G118" s="293" t="s">
        <v>287</v>
      </c>
      <c r="H118" s="294">
        <f>'App 7 - HH &amp; Capita'!G119</f>
        <v>5.4948049117198288</v>
      </c>
      <c r="I118" s="291"/>
      <c r="J118" s="295" t="s">
        <v>288</v>
      </c>
      <c r="K118" s="296" t="s">
        <v>287</v>
      </c>
      <c r="L118" s="297">
        <f>'App 7 - HH &amp; Capita'!L119</f>
        <v>3.3759473821761476</v>
      </c>
      <c r="M118" s="291"/>
      <c r="N118" s="298"/>
      <c r="O118" s="298"/>
      <c r="P118" s="299"/>
      <c r="Q118" s="300" t="s">
        <v>288</v>
      </c>
      <c r="R118" s="300" t="s">
        <v>289</v>
      </c>
      <c r="S118" s="301">
        <v>9.3971142358239135</v>
      </c>
      <c r="T118" s="291"/>
      <c r="U118" s="302">
        <f t="shared" si="31"/>
        <v>18.267866529719889</v>
      </c>
      <c r="V118" s="138">
        <f t="shared" si="32"/>
        <v>4</v>
      </c>
      <c r="W118" s="303">
        <f>'App 3 - Recycling Rate'!S119</f>
        <v>0.59527361262536771</v>
      </c>
      <c r="AM118"/>
      <c r="AN118"/>
      <c r="AO118"/>
      <c r="AP118" s="376"/>
      <c r="AQ118" s="376"/>
      <c r="AR118" s="376"/>
      <c r="AS118" s="376"/>
      <c r="AT118" s="376"/>
      <c r="AU118" s="376"/>
      <c r="AV118" s="376"/>
      <c r="AW118" s="376"/>
      <c r="AX118" s="376"/>
      <c r="AY118" s="376"/>
      <c r="AZ118" s="376"/>
      <c r="BA118" s="376"/>
      <c r="BB118" s="376"/>
      <c r="BC118" s="376"/>
      <c r="BD118" s="376"/>
      <c r="BE118" s="376"/>
      <c r="BF118" s="376"/>
      <c r="BG118" s="376"/>
      <c r="BH118" s="376"/>
      <c r="BI118" s="376"/>
      <c r="BJ118" s="376"/>
      <c r="BK118" s="376"/>
    </row>
    <row r="119" spans="1:63" x14ac:dyDescent="0.25">
      <c r="A119" s="8">
        <v>17850</v>
      </c>
      <c r="B119" s="8" t="s">
        <v>164</v>
      </c>
      <c r="C119" s="8" t="s">
        <v>16</v>
      </c>
      <c r="D119" s="29" t="s">
        <v>1</v>
      </c>
      <c r="E119" s="291"/>
      <c r="F119" s="292" t="s">
        <v>419</v>
      </c>
      <c r="G119" s="293" t="s">
        <v>419</v>
      </c>
      <c r="H119" s="294">
        <f>'App 7 - HH &amp; Capita'!G120</f>
        <v>10.703979119472077</v>
      </c>
      <c r="I119" s="291"/>
      <c r="J119" s="295"/>
      <c r="K119" s="296"/>
      <c r="L119" s="297"/>
      <c r="M119" s="291"/>
      <c r="N119" s="298" t="s">
        <v>288</v>
      </c>
      <c r="O119" s="298" t="s">
        <v>287</v>
      </c>
      <c r="P119" s="299">
        <v>4.6164935981450004</v>
      </c>
      <c r="Q119" s="300"/>
      <c r="R119" s="300"/>
      <c r="S119" s="301"/>
      <c r="T119" s="291"/>
      <c r="U119" s="302">
        <f t="shared" si="31"/>
        <v>15.320472717617077</v>
      </c>
      <c r="V119" s="138">
        <v>3</v>
      </c>
      <c r="W119" s="303">
        <f>'App 3 - Recycling Rate'!S120</f>
        <v>0.45427954505511065</v>
      </c>
      <c r="AM119"/>
      <c r="AN119"/>
      <c r="AO119"/>
      <c r="AP119" s="376"/>
      <c r="AQ119" s="376"/>
      <c r="AR119" s="376"/>
      <c r="AS119" s="376"/>
      <c r="AT119" s="376"/>
      <c r="AU119" s="376"/>
      <c r="AV119" s="376"/>
      <c r="AW119" s="376"/>
      <c r="AX119" s="376"/>
      <c r="AY119" s="376"/>
      <c r="AZ119" s="376"/>
      <c r="BA119" s="376"/>
      <c r="BB119" s="376"/>
      <c r="BC119" s="376"/>
      <c r="BD119" s="376"/>
      <c r="BE119" s="376"/>
      <c r="BF119" s="376"/>
      <c r="BG119" s="376"/>
      <c r="BH119" s="376"/>
      <c r="BI119" s="376"/>
      <c r="BJ119" s="376"/>
      <c r="BK119" s="376"/>
    </row>
    <row r="120" spans="1:63" x14ac:dyDescent="0.25">
      <c r="A120" s="8">
        <v>17900</v>
      </c>
      <c r="B120" s="8" t="s">
        <v>165</v>
      </c>
      <c r="C120" s="8" t="s">
        <v>38</v>
      </c>
      <c r="D120" s="29" t="s">
        <v>1</v>
      </c>
      <c r="E120" s="291"/>
      <c r="F120" s="292" t="s">
        <v>288</v>
      </c>
      <c r="G120" s="293" t="s">
        <v>289</v>
      </c>
      <c r="H120" s="294">
        <f>'App 7 - HH &amp; Capita'!G121</f>
        <v>37.633599277434897</v>
      </c>
      <c r="I120" s="291"/>
      <c r="J120" s="295"/>
      <c r="K120" s="296"/>
      <c r="L120" s="297"/>
      <c r="M120" s="291"/>
      <c r="N120" s="298"/>
      <c r="O120" s="298"/>
      <c r="P120" s="299"/>
      <c r="Q120" s="300"/>
      <c r="R120" s="300"/>
      <c r="S120" s="301"/>
      <c r="T120" s="291"/>
      <c r="U120" s="302">
        <f t="shared" si="31"/>
        <v>37.633599277434897</v>
      </c>
      <c r="V120" s="138">
        <f t="shared" si="32"/>
        <v>1</v>
      </c>
      <c r="W120" s="303">
        <f>'App 3 - Recycling Rate'!S121</f>
        <v>1.8388848897323475E-2</v>
      </c>
      <c r="AM120"/>
      <c r="AN120"/>
      <c r="AO120"/>
      <c r="AP120"/>
      <c r="AQ120"/>
      <c r="AR120" s="617"/>
      <c r="BK120" s="574"/>
    </row>
    <row r="121" spans="1:63" x14ac:dyDescent="0.25">
      <c r="A121" s="8">
        <v>17950</v>
      </c>
      <c r="B121" s="8" t="s">
        <v>166</v>
      </c>
      <c r="C121" s="8" t="s">
        <v>38</v>
      </c>
      <c r="D121" s="29" t="s">
        <v>1</v>
      </c>
      <c r="E121" s="291"/>
      <c r="F121" s="292" t="s">
        <v>419</v>
      </c>
      <c r="G121" s="293" t="s">
        <v>419</v>
      </c>
      <c r="H121" s="294">
        <f>'App 7 - HH &amp; Capita'!G122</f>
        <v>3.5829959514170042</v>
      </c>
      <c r="I121" s="291"/>
      <c r="J121" s="295"/>
      <c r="K121" s="296"/>
      <c r="L121" s="297"/>
      <c r="M121" s="291"/>
      <c r="N121" s="298"/>
      <c r="O121" s="298"/>
      <c r="P121" s="299"/>
      <c r="Q121" s="300"/>
      <c r="R121" s="300"/>
      <c r="S121" s="301"/>
      <c r="T121" s="291"/>
      <c r="U121" s="302">
        <f t="shared" si="31"/>
        <v>3.5829959514170042</v>
      </c>
      <c r="V121" s="138">
        <f t="shared" si="32"/>
        <v>1</v>
      </c>
      <c r="W121" s="303">
        <f>'App 3 - Recycling Rate'!S122</f>
        <v>6.2217847834929374E-3</v>
      </c>
      <c r="AM121"/>
      <c r="AN121"/>
      <c r="AO121"/>
      <c r="AP121"/>
      <c r="AQ121"/>
      <c r="AR121" s="617"/>
      <c r="BK121" s="574"/>
    </row>
    <row r="122" spans="1:63" x14ac:dyDescent="0.25">
      <c r="A122" s="8">
        <v>18020</v>
      </c>
      <c r="B122" s="8" t="s">
        <v>167</v>
      </c>
      <c r="C122" s="8" t="s">
        <v>38</v>
      </c>
      <c r="D122" s="29" t="s">
        <v>1</v>
      </c>
      <c r="E122" s="291"/>
      <c r="F122" s="292" t="s">
        <v>288</v>
      </c>
      <c r="G122" s="293" t="s">
        <v>287</v>
      </c>
      <c r="H122" s="294">
        <f>'App 7 - HH &amp; Capita'!G123</f>
        <v>23.00373511003432</v>
      </c>
      <c r="I122" s="291"/>
      <c r="J122" s="295" t="s">
        <v>288</v>
      </c>
      <c r="K122" s="296" t="s">
        <v>287</v>
      </c>
      <c r="L122" s="297">
        <f>'App 7 - HH &amp; Capita'!L123</f>
        <v>1.5632571168988494</v>
      </c>
      <c r="M122" s="291"/>
      <c r="N122" s="298"/>
      <c r="O122" s="298"/>
      <c r="P122" s="299"/>
      <c r="Q122" s="300"/>
      <c r="R122" s="300"/>
      <c r="S122" s="301"/>
      <c r="T122" s="291"/>
      <c r="U122" s="302">
        <f t="shared" si="31"/>
        <v>24.56699222693317</v>
      </c>
      <c r="V122" s="138">
        <f t="shared" si="32"/>
        <v>2</v>
      </c>
      <c r="W122" s="303">
        <f>'App 3 - Recycling Rate'!S123</f>
        <v>9.8523081128041937E-2</v>
      </c>
      <c r="AM122"/>
      <c r="AN122"/>
      <c r="AO122"/>
      <c r="AP122"/>
      <c r="AQ122"/>
      <c r="AR122" s="617"/>
      <c r="BK122" s="574"/>
    </row>
    <row r="123" spans="1:63" x14ac:dyDescent="0.25">
      <c r="A123" s="8">
        <v>18050</v>
      </c>
      <c r="B123" s="8" t="s">
        <v>62</v>
      </c>
      <c r="C123" s="8" t="s">
        <v>17</v>
      </c>
      <c r="D123" s="29" t="s">
        <v>2</v>
      </c>
      <c r="E123" s="291"/>
      <c r="F123" s="292" t="s">
        <v>288</v>
      </c>
      <c r="G123" s="293" t="s">
        <v>289</v>
      </c>
      <c r="H123" s="294">
        <f>'App 7 - HH &amp; Capita'!G124</f>
        <v>8.7679258955533719</v>
      </c>
      <c r="I123" s="291"/>
      <c r="J123" s="295" t="s">
        <v>286</v>
      </c>
      <c r="K123" s="296" t="s">
        <v>287</v>
      </c>
      <c r="L123" s="297">
        <f>'App 7 - HH &amp; Capita'!L124</f>
        <v>2.3858188000229221</v>
      </c>
      <c r="M123" s="291"/>
      <c r="N123" s="298" t="s">
        <v>286</v>
      </c>
      <c r="O123" s="298"/>
      <c r="P123" s="299">
        <v>1.5556621462722999</v>
      </c>
      <c r="Q123" s="300"/>
      <c r="R123" s="300"/>
      <c r="S123" s="301"/>
      <c r="T123" s="291"/>
      <c r="U123" s="302">
        <f t="shared" si="31"/>
        <v>12.709406841848594</v>
      </c>
      <c r="V123" s="138">
        <f t="shared" si="32"/>
        <v>3</v>
      </c>
      <c r="W123" s="303">
        <f>'App 3 - Recycling Rate'!S124</f>
        <v>0.47669433431910319</v>
      </c>
      <c r="AM123"/>
      <c r="AN123"/>
      <c r="AO123"/>
      <c r="AP123"/>
      <c r="AQ123"/>
      <c r="AR123" s="616"/>
      <c r="BK123" s="574"/>
    </row>
    <row r="124" spans="1:63" x14ac:dyDescent="0.25">
      <c r="A124" s="8">
        <v>18100</v>
      </c>
      <c r="B124" s="8" t="s">
        <v>168</v>
      </c>
      <c r="C124" s="8" t="s">
        <v>38</v>
      </c>
      <c r="D124" s="29" t="s">
        <v>1</v>
      </c>
      <c r="E124" s="291"/>
      <c r="F124" s="292" t="s">
        <v>288</v>
      </c>
      <c r="G124" s="293" t="s">
        <v>289</v>
      </c>
      <c r="H124" s="294">
        <f>'App 7 - HH &amp; Capita'!G125</f>
        <v>9.0381577348401994</v>
      </c>
      <c r="I124" s="291"/>
      <c r="J124" s="295" t="s">
        <v>288</v>
      </c>
      <c r="K124" s="296" t="s">
        <v>287</v>
      </c>
      <c r="L124" s="297">
        <f>'App 7 - HH &amp; Capita'!L125</f>
        <v>2.9768320851123398</v>
      </c>
      <c r="M124" s="291"/>
      <c r="N124" s="298"/>
      <c r="O124" s="298"/>
      <c r="P124" s="299"/>
      <c r="Q124" s="300"/>
      <c r="R124" s="300"/>
      <c r="S124" s="301"/>
      <c r="T124" s="291"/>
      <c r="U124" s="302">
        <f t="shared" si="31"/>
        <v>12.01498981995254</v>
      </c>
      <c r="V124" s="138">
        <f t="shared" si="32"/>
        <v>2</v>
      </c>
      <c r="W124" s="303">
        <f>'App 3 - Recycling Rate'!S125</f>
        <v>0.22902032644473852</v>
      </c>
      <c r="AM124"/>
      <c r="AN124"/>
      <c r="AO124"/>
      <c r="AP124"/>
      <c r="AQ124"/>
      <c r="AR124" s="618"/>
      <c r="BK124" s="574"/>
    </row>
    <row r="125" spans="1:63" x14ac:dyDescent="0.25">
      <c r="A125" s="8">
        <v>18200</v>
      </c>
      <c r="B125" s="8" t="s">
        <v>169</v>
      </c>
      <c r="C125" s="8" t="s">
        <v>66</v>
      </c>
      <c r="D125" s="29" t="s">
        <v>1</v>
      </c>
      <c r="E125" s="291"/>
      <c r="F125" s="292" t="s">
        <v>288</v>
      </c>
      <c r="G125" s="293" t="s">
        <v>289</v>
      </c>
      <c r="H125" s="294">
        <f>'App 7 - HH &amp; Capita'!G126</f>
        <v>386.26103404791928</v>
      </c>
      <c r="I125" s="291"/>
      <c r="J125" s="295"/>
      <c r="K125" s="296"/>
      <c r="L125" s="297"/>
      <c r="M125" s="291"/>
      <c r="N125" s="298"/>
      <c r="O125" s="298"/>
      <c r="P125" s="299"/>
      <c r="Q125" s="300"/>
      <c r="R125" s="300"/>
      <c r="S125" s="301"/>
      <c r="T125" s="291"/>
      <c r="U125" s="302">
        <f t="shared" si="31"/>
        <v>386.26103404791928</v>
      </c>
      <c r="V125" s="138">
        <f t="shared" si="32"/>
        <v>1</v>
      </c>
      <c r="W125" s="303">
        <f>'App 3 - Recycling Rate'!S126</f>
        <v>0.14399594781059508</v>
      </c>
      <c r="AM125"/>
      <c r="AN125"/>
      <c r="AO125"/>
      <c r="AP125"/>
      <c r="AQ125"/>
      <c r="AR125"/>
      <c r="BK125" s="574"/>
    </row>
    <row r="126" spans="1:63" x14ac:dyDescent="0.25">
      <c r="A126" s="8">
        <v>18250</v>
      </c>
      <c r="B126" s="8" t="s">
        <v>63</v>
      </c>
      <c r="C126" s="8" t="s">
        <v>24</v>
      </c>
      <c r="D126" s="29" t="s">
        <v>2</v>
      </c>
      <c r="E126" s="291"/>
      <c r="F126" s="292" t="s">
        <v>288</v>
      </c>
      <c r="G126" s="293" t="s">
        <v>289</v>
      </c>
      <c r="H126" s="294">
        <f>'App 7 - HH &amp; Capita'!G127</f>
        <v>15.110124827798304</v>
      </c>
      <c r="I126" s="291"/>
      <c r="J126" s="295" t="s">
        <v>288</v>
      </c>
      <c r="K126" s="296" t="s">
        <v>289</v>
      </c>
      <c r="L126" s="297">
        <f>'App 7 - HH &amp; Capita'!L127</f>
        <v>5.7760225722129981</v>
      </c>
      <c r="M126" s="291"/>
      <c r="N126" s="298" t="s">
        <v>288</v>
      </c>
      <c r="O126" s="298" t="s">
        <v>289</v>
      </c>
      <c r="P126" s="299">
        <v>8.2411652341899995</v>
      </c>
      <c r="Q126" s="300"/>
      <c r="R126" s="300"/>
      <c r="S126" s="301"/>
      <c r="T126" s="291"/>
      <c r="U126" s="302">
        <f t="shared" si="31"/>
        <v>29.127312634201303</v>
      </c>
      <c r="V126" s="138">
        <f t="shared" si="32"/>
        <v>3</v>
      </c>
      <c r="W126" s="303">
        <f>'App 3 - Recycling Rate'!S127</f>
        <v>0.49455943796515839</v>
      </c>
      <c r="AM126"/>
      <c r="AN126"/>
      <c r="AO126"/>
      <c r="AP126"/>
      <c r="AQ126"/>
      <c r="AR126"/>
      <c r="BK126" s="574"/>
    </row>
    <row r="127" spans="1:63" x14ac:dyDescent="0.25">
      <c r="A127" s="8">
        <v>18350</v>
      </c>
      <c r="B127" s="8" t="s">
        <v>64</v>
      </c>
      <c r="C127" s="8" t="s">
        <v>67</v>
      </c>
      <c r="D127" s="29" t="s">
        <v>2</v>
      </c>
      <c r="E127" s="291"/>
      <c r="F127" s="292" t="s">
        <v>292</v>
      </c>
      <c r="G127" s="293" t="s">
        <v>289</v>
      </c>
      <c r="H127" s="294">
        <f>'App 7 - HH &amp; Capita'!G128</f>
        <v>7.5842159885801212</v>
      </c>
      <c r="I127" s="291"/>
      <c r="J127" s="295" t="s">
        <v>288</v>
      </c>
      <c r="K127" s="296" t="s">
        <v>287</v>
      </c>
      <c r="L127" s="297">
        <f>'App 7 - HH &amp; Capita'!L128</f>
        <v>3.9536835479556243</v>
      </c>
      <c r="M127" s="291"/>
      <c r="N127" s="298" t="s">
        <v>288</v>
      </c>
      <c r="O127" s="298" t="s">
        <v>287</v>
      </c>
      <c r="P127" s="299">
        <v>6.5172814532893</v>
      </c>
      <c r="Q127" s="300"/>
      <c r="R127" s="300"/>
      <c r="S127" s="301"/>
      <c r="T127" s="291"/>
      <c r="U127" s="302">
        <f t="shared" si="31"/>
        <v>18.055180989825047</v>
      </c>
      <c r="V127" s="138">
        <f t="shared" si="32"/>
        <v>3</v>
      </c>
      <c r="W127" s="303">
        <f>'App 3 - Recycling Rate'!S128</f>
        <v>0.53640963159644373</v>
      </c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</row>
    <row r="128" spans="1:63" x14ac:dyDescent="0.25">
      <c r="A128" s="8">
        <v>18400</v>
      </c>
      <c r="B128" s="8" t="s">
        <v>170</v>
      </c>
      <c r="C128" s="8" t="s">
        <v>182</v>
      </c>
      <c r="D128" s="29" t="s">
        <v>3</v>
      </c>
      <c r="E128" s="291"/>
      <c r="F128" s="292" t="s">
        <v>290</v>
      </c>
      <c r="G128" s="293" t="s">
        <v>289</v>
      </c>
      <c r="H128" s="294">
        <f>'App 7 - HH &amp; Capita'!G129</f>
        <v>12.234720036344166</v>
      </c>
      <c r="I128" s="291"/>
      <c r="J128" s="295" t="s">
        <v>288</v>
      </c>
      <c r="K128" s="296" t="s">
        <v>287</v>
      </c>
      <c r="L128" s="297">
        <f>'App 7 - HH &amp; Capita'!L129</f>
        <v>4.1907443482246629</v>
      </c>
      <c r="M128" s="291"/>
      <c r="N128" s="298" t="s">
        <v>288</v>
      </c>
      <c r="O128" s="298" t="s">
        <v>287</v>
      </c>
      <c r="P128" s="299">
        <v>7.9521357164495612</v>
      </c>
      <c r="Q128" s="300"/>
      <c r="R128" s="300"/>
      <c r="S128" s="301"/>
      <c r="T128" s="291"/>
      <c r="U128" s="302">
        <f t="shared" si="31"/>
        <v>24.377600101018391</v>
      </c>
      <c r="V128" s="138">
        <f t="shared" si="32"/>
        <v>3</v>
      </c>
      <c r="W128" s="303">
        <f>'App 3 - Recycling Rate'!S129</f>
        <v>0.39018732346795237</v>
      </c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</row>
    <row r="129" spans="1:63" x14ac:dyDescent="0.25">
      <c r="A129" s="8">
        <v>18450</v>
      </c>
      <c r="B129" s="8" t="s">
        <v>171</v>
      </c>
      <c r="C129" s="8" t="s">
        <v>37</v>
      </c>
      <c r="D129" s="29" t="s">
        <v>2</v>
      </c>
      <c r="E129" s="291"/>
      <c r="F129" s="292" t="s">
        <v>290</v>
      </c>
      <c r="G129" s="293" t="s">
        <v>289</v>
      </c>
      <c r="H129" s="294">
        <f>'App 7 - HH &amp; Capita'!G130</f>
        <v>8.3958706980553863</v>
      </c>
      <c r="I129" s="291"/>
      <c r="J129" s="295" t="s">
        <v>288</v>
      </c>
      <c r="K129" s="296" t="s">
        <v>287</v>
      </c>
      <c r="L129" s="297">
        <f>'App 7 - HH &amp; Capita'!L130</f>
        <v>3.2825629139540471</v>
      </c>
      <c r="M129" s="291"/>
      <c r="N129" s="298"/>
      <c r="O129" s="298"/>
      <c r="P129" s="299"/>
      <c r="Q129" s="300" t="s">
        <v>288</v>
      </c>
      <c r="R129" s="300" t="s">
        <v>289</v>
      </c>
      <c r="S129" s="301">
        <v>7.7899998262999999</v>
      </c>
      <c r="T129" s="291"/>
      <c r="U129" s="302">
        <f t="shared" si="31"/>
        <v>19.468433438309432</v>
      </c>
      <c r="V129" s="138">
        <f t="shared" si="32"/>
        <v>4</v>
      </c>
      <c r="W129" s="303">
        <f>'App 3 - Recycling Rate'!S130</f>
        <v>0.52504601699944586</v>
      </c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</row>
    <row r="130" spans="1:63" x14ac:dyDescent="0.25">
      <c r="A130" s="8">
        <v>18500</v>
      </c>
      <c r="B130" s="8" t="s">
        <v>65</v>
      </c>
      <c r="C130" s="8" t="s">
        <v>17</v>
      </c>
      <c r="D130" s="29" t="s">
        <v>2</v>
      </c>
      <c r="E130" s="291"/>
      <c r="F130" s="292" t="s">
        <v>288</v>
      </c>
      <c r="G130" s="293" t="s">
        <v>289</v>
      </c>
      <c r="H130" s="294">
        <f>'App 7 - HH &amp; Capita'!G131</f>
        <v>8.4695597994420222</v>
      </c>
      <c r="I130" s="291"/>
      <c r="J130" s="295" t="s">
        <v>290</v>
      </c>
      <c r="K130" s="296" t="s">
        <v>289</v>
      </c>
      <c r="L130" s="297"/>
      <c r="M130" s="291"/>
      <c r="N130" s="298"/>
      <c r="O130" s="298"/>
      <c r="P130" s="299"/>
      <c r="Q130" s="300" t="s">
        <v>288</v>
      </c>
      <c r="R130" s="300" t="s">
        <v>289</v>
      </c>
      <c r="S130" s="301">
        <v>8.2943846153850007</v>
      </c>
      <c r="T130" s="291"/>
      <c r="U130" s="302">
        <f t="shared" si="31"/>
        <v>16.763944414827023</v>
      </c>
      <c r="V130" s="138">
        <f t="shared" si="32"/>
        <v>4</v>
      </c>
      <c r="W130" s="303">
        <f>'App 3 - Recycling Rate'!S131</f>
        <v>0.63344969822224562</v>
      </c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</row>
    <row r="131" spans="1:63" x14ac:dyDescent="0.25">
      <c r="A131" s="8">
        <v>18710</v>
      </c>
      <c r="B131" s="8" t="s">
        <v>172</v>
      </c>
      <c r="C131" s="8" t="s">
        <v>67</v>
      </c>
      <c r="D131" s="29" t="s">
        <v>1</v>
      </c>
      <c r="E131" s="291"/>
      <c r="F131" s="292" t="s">
        <v>286</v>
      </c>
      <c r="G131" s="293" t="s">
        <v>289</v>
      </c>
      <c r="H131" s="294">
        <f>'App 7 - HH &amp; Capita'!G132</f>
        <v>6.4163658243080626</v>
      </c>
      <c r="I131" s="291"/>
      <c r="J131" s="295" t="s">
        <v>288</v>
      </c>
      <c r="K131" s="296" t="s">
        <v>287</v>
      </c>
      <c r="L131" s="297">
        <f>'App 7 - HH &amp; Capita'!L132</f>
        <v>1.8286587059150237</v>
      </c>
      <c r="M131" s="291"/>
      <c r="N131" s="298"/>
      <c r="O131" s="298"/>
      <c r="P131" s="299"/>
      <c r="Q131" s="300"/>
      <c r="R131" s="300"/>
      <c r="S131" s="301"/>
      <c r="T131" s="291"/>
      <c r="U131" s="302">
        <f t="shared" si="31"/>
        <v>8.2450245302230858</v>
      </c>
      <c r="V131" s="138">
        <f t="shared" si="32"/>
        <v>2</v>
      </c>
      <c r="W131" s="303">
        <f>'App 3 - Recycling Rate'!S132</f>
        <v>0.53390893743871515</v>
      </c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</row>
    <row r="132" spans="1:63" x14ac:dyDescent="0.25">
      <c r="G132" s="636" t="s">
        <v>475</v>
      </c>
      <c r="O132" s="305"/>
      <c r="Q132" s="305"/>
      <c r="R132" s="305"/>
      <c r="Y132" s="119"/>
      <c r="AM132"/>
      <c r="AN132"/>
      <c r="AO132"/>
      <c r="AP132"/>
      <c r="AQ132"/>
      <c r="AR132"/>
      <c r="AS132"/>
      <c r="AT132"/>
      <c r="AU132"/>
      <c r="AV132"/>
    </row>
    <row r="133" spans="1:63" s="134" customFormat="1" x14ac:dyDescent="0.25">
      <c r="B133" s="134" t="s">
        <v>295</v>
      </c>
      <c r="E133" s="135"/>
      <c r="F133" s="138"/>
      <c r="G133" s="138"/>
      <c r="H133" s="306">
        <f>'App 7 - HH &amp; Capita'!G136</f>
        <v>11.037606425930134</v>
      </c>
      <c r="I133" s="135"/>
      <c r="J133" s="138"/>
      <c r="K133" s="138"/>
      <c r="L133" s="306">
        <f>'App 7 - HH &amp; Capita'!L136</f>
        <v>3.5146891211760778</v>
      </c>
      <c r="M133" s="135"/>
      <c r="N133" s="138"/>
      <c r="O133" s="138"/>
      <c r="P133" s="306">
        <f>'App 7 - HH &amp; Capita'!P136</f>
        <v>5.6650596298390452</v>
      </c>
      <c r="Q133" s="138"/>
      <c r="R133" s="138"/>
      <c r="S133" s="306">
        <f>'App 7 - HH &amp; Capita'!S136</f>
        <v>7.4077232663726313</v>
      </c>
      <c r="T133" s="135"/>
      <c r="U133" s="306">
        <f>AVERAGE(U4:U131)</f>
        <v>31.7393653986706</v>
      </c>
      <c r="Z133" s="574"/>
      <c r="AA133" s="574"/>
      <c r="AB133" s="574"/>
      <c r="AC133" s="574"/>
      <c r="AD133" s="574"/>
      <c r="AE133" s="574"/>
      <c r="AF133" s="574"/>
      <c r="AG133" s="574"/>
      <c r="AH133" s="574"/>
      <c r="AI133" s="574"/>
      <c r="AJ133" s="574"/>
      <c r="AK133" s="574"/>
      <c r="AL133" s="574"/>
      <c r="AM133"/>
      <c r="AN133"/>
      <c r="AO133"/>
      <c r="AP133"/>
      <c r="AQ133"/>
      <c r="AR133"/>
      <c r="AS133"/>
      <c r="AT133"/>
      <c r="AU133"/>
      <c r="AV133"/>
      <c r="AW133" s="574"/>
      <c r="AX133" s="574"/>
      <c r="AY133" s="574"/>
      <c r="AZ133" s="574"/>
      <c r="BA133" s="574"/>
      <c r="BB133" s="574"/>
      <c r="BC133" s="574"/>
      <c r="BD133" s="574"/>
      <c r="BE133" s="574"/>
      <c r="BF133" s="574"/>
      <c r="BG133" s="574"/>
      <c r="BH133" s="574"/>
      <c r="BI133" s="574"/>
      <c r="BJ133" s="574"/>
    </row>
    <row r="134" spans="1:63" s="134" customFormat="1" x14ac:dyDescent="0.25">
      <c r="E134" s="135"/>
      <c r="F134" s="138"/>
      <c r="G134" s="138" t="s">
        <v>296</v>
      </c>
      <c r="H134" s="307" t="s">
        <v>297</v>
      </c>
      <c r="I134" s="135"/>
      <c r="J134" s="138"/>
      <c r="K134" s="138" t="s">
        <v>298</v>
      </c>
      <c r="L134" s="307" t="s">
        <v>297</v>
      </c>
      <c r="M134" s="135"/>
      <c r="N134" s="138"/>
      <c r="O134" s="138" t="s">
        <v>299</v>
      </c>
      <c r="P134" s="307" t="s">
        <v>297</v>
      </c>
      <c r="R134" s="138" t="s">
        <v>278</v>
      </c>
      <c r="S134" s="307" t="s">
        <v>297</v>
      </c>
      <c r="T134" s="135"/>
      <c r="U134" s="307" t="s">
        <v>285</v>
      </c>
      <c r="V134" s="307" t="s">
        <v>300</v>
      </c>
      <c r="W134" s="307" t="s">
        <v>297</v>
      </c>
      <c r="X134" s="119"/>
      <c r="Y134" s="134" t="s">
        <v>301</v>
      </c>
      <c r="Z134" s="574"/>
      <c r="AA134" s="574"/>
      <c r="AB134" s="574"/>
      <c r="AC134" s="574"/>
      <c r="AD134" s="574"/>
      <c r="AE134" s="574"/>
      <c r="AF134" s="574"/>
      <c r="AG134" s="574"/>
      <c r="AH134" s="574"/>
      <c r="AI134" s="574"/>
      <c r="AJ134" s="574"/>
      <c r="AK134" s="574"/>
      <c r="AL134" s="574"/>
      <c r="AM134"/>
      <c r="AN134"/>
      <c r="AO134"/>
      <c r="AP134"/>
      <c r="AQ134"/>
      <c r="AR134"/>
      <c r="AS134"/>
      <c r="AT134"/>
      <c r="AU134"/>
      <c r="AV134"/>
      <c r="AW134" s="574"/>
      <c r="AX134" s="574"/>
      <c r="AY134" s="574"/>
      <c r="AZ134" s="574"/>
      <c r="BA134" s="574"/>
      <c r="BB134" s="574"/>
      <c r="BC134" s="574"/>
      <c r="BD134" s="574"/>
      <c r="BE134" s="574"/>
      <c r="BF134" s="574"/>
      <c r="BG134" s="574"/>
      <c r="BH134" s="574"/>
      <c r="BI134" s="574"/>
      <c r="BJ134" s="574"/>
    </row>
    <row r="135" spans="1:63" x14ac:dyDescent="0.25">
      <c r="F135" s="308" t="s">
        <v>289</v>
      </c>
      <c r="G135" s="647" cm="1">
        <f t="array" ref="G135">SUM(COUNTIFS($G$4:$G$131,{"Weekly","Weekly^"}))</f>
        <v>97</v>
      </c>
      <c r="H135" s="309">
        <f>SUMIF($G$4:$G$131, "Weekly", $H$4:$H$131) /G135</f>
        <v>15.981460937197388</v>
      </c>
      <c r="J135" s="308" t="s">
        <v>289</v>
      </c>
      <c r="K135" s="307">
        <f>COUNTIF($K$4:$K$131, "Weekly")</f>
        <v>14</v>
      </c>
      <c r="L135" s="309">
        <f>SUMIF($K$4:$K$131, "Weekly", $L$4:$L$131) /K135</f>
        <v>6.8292901174915528</v>
      </c>
      <c r="N135" s="308" t="s">
        <v>289</v>
      </c>
      <c r="O135" s="307">
        <f>COUNTIF($O$4:$O$131, "Weekly")</f>
        <v>4</v>
      </c>
      <c r="P135" s="309">
        <f>SUMIF($O$4:$O$131, "Weekly", $P$4:$P$131) /O135</f>
        <v>8.464292581050799</v>
      </c>
      <c r="Q135" s="308" t="s">
        <v>289</v>
      </c>
      <c r="R135" s="307">
        <f>COUNTIF($R$4:$R$131, "Weekly")</f>
        <v>32</v>
      </c>
      <c r="S135" s="309">
        <f>SUMIF($R$4:$R$131, "Weekly", $S$4:$S$131) /R135</f>
        <v>6.6042242864400444</v>
      </c>
      <c r="U135" s="310">
        <v>1</v>
      </c>
      <c r="V135" s="307">
        <f>COUNTIF($V$4:$V$131, "1")</f>
        <v>16</v>
      </c>
      <c r="W135" s="309">
        <f>SUMIF($V$4:$V$131, "1", $U$4:$U$131) /V135</f>
        <v>42.338590613117802</v>
      </c>
      <c r="X135" s="308" t="s">
        <v>296</v>
      </c>
      <c r="Y135" s="311">
        <f>SUMIF($V$4:$V$131, "1", $W$4:$W$131) /$V135</f>
        <v>0.20598800026278902</v>
      </c>
      <c r="AM135"/>
      <c r="AN135"/>
      <c r="AO135"/>
      <c r="AP135"/>
      <c r="AR135"/>
      <c r="AS135"/>
      <c r="AT135"/>
      <c r="AU135"/>
      <c r="AV135"/>
    </row>
    <row r="136" spans="1:63" x14ac:dyDescent="0.25">
      <c r="F136" s="308" t="s">
        <v>302</v>
      </c>
      <c r="G136" s="307" cm="1">
        <f t="array" ref="G136">SUM(COUNTIFS($G$4:$G$131,{"F/N","F/N^"}))</f>
        <v>25</v>
      </c>
      <c r="H136" s="309">
        <f>SUMIF($G$4:$G$131, "F/N", $H$4:$H$131) /G136</f>
        <v>57.724276837615143</v>
      </c>
      <c r="J136" s="308" t="s">
        <v>302</v>
      </c>
      <c r="K136" s="307">
        <f>COUNTIF($K$4:$K$131, "F/N")</f>
        <v>96</v>
      </c>
      <c r="L136" s="309">
        <f>SUMIF($K$4:$K$131, "F/N", $L$4:$L$131) /K136</f>
        <v>3.2573713914660196</v>
      </c>
      <c r="N136" s="308" t="s">
        <v>302</v>
      </c>
      <c r="O136" s="307">
        <f>COUNTIF($O$4:$O$131, "F/N")</f>
        <v>36</v>
      </c>
      <c r="P136" s="309">
        <f>SUMIF($O$4:$O$131, "F/N", $P$4:$P$131) /O136</f>
        <v>5.0015348446519994</v>
      </c>
      <c r="Q136" s="308" t="s">
        <v>302</v>
      </c>
      <c r="R136" s="307">
        <f>COUNTIF($R$4:$R$131, "F/N")</f>
        <v>12</v>
      </c>
      <c r="S136" s="309">
        <f>SUMIF($R$4:$R$131, "F/N", $S$4:$S$131) /R136</f>
        <v>5.6582779388807261</v>
      </c>
      <c r="U136" s="310">
        <v>2</v>
      </c>
      <c r="V136" s="307">
        <f>COUNTIF($V$4:$V$131, "2")</f>
        <v>25</v>
      </c>
      <c r="W136" s="309">
        <f>SUMIF($V$4:$V$131, "2", $U$4:$U$131) /V136</f>
        <v>16.153777966966047</v>
      </c>
      <c r="X136" s="308" t="s">
        <v>303</v>
      </c>
      <c r="Y136" s="311">
        <f>SUMIF($V$4:$V$131, "2", $W$4:$W$131) /$V136</f>
        <v>0.35080715556570069</v>
      </c>
      <c r="AM136"/>
      <c r="AN136"/>
      <c r="AO136"/>
      <c r="AP136"/>
      <c r="AR136"/>
      <c r="AS136"/>
      <c r="AT136"/>
      <c r="AU136"/>
      <c r="AV136"/>
    </row>
    <row r="137" spans="1:63" x14ac:dyDescent="0.25">
      <c r="G137" s="307">
        <f>SUM(G135:G136)</f>
        <v>122</v>
      </c>
      <c r="K137" s="307">
        <f>SUM(K135:K136)</f>
        <v>110</v>
      </c>
      <c r="N137" s="308" t="s">
        <v>293</v>
      </c>
      <c r="O137" s="307">
        <f>COUNTIF($O$4:$O$131, "Monthly")</f>
        <v>2</v>
      </c>
      <c r="P137" s="309">
        <f>SUMIF($O$4:$O$131, "Monthly", $P$4:$P$131) /O137</f>
        <v>4.4375116275214497</v>
      </c>
      <c r="R137" s="307">
        <f>SUM(R135:R136)</f>
        <v>44</v>
      </c>
      <c r="U137" s="310">
        <v>3</v>
      </c>
      <c r="V137" s="307">
        <f>COUNTIF($V$4:$V$131, "3")</f>
        <v>43</v>
      </c>
      <c r="W137" s="309">
        <f>SUMIF($V$4:$V$131, "3", $U$4:$U$131) /V137</f>
        <v>21.612818819816876</v>
      </c>
      <c r="X137" s="308" t="s">
        <v>304</v>
      </c>
      <c r="Y137" s="311">
        <f>SUMIF($V$4:$V$131, "3", $W$4:$W$131) /$V137</f>
        <v>0.4356205625971164</v>
      </c>
      <c r="AR137"/>
      <c r="AS137"/>
      <c r="AT137"/>
      <c r="AU137"/>
      <c r="AV137"/>
    </row>
    <row r="138" spans="1:63" x14ac:dyDescent="0.25">
      <c r="M138" s="208"/>
      <c r="O138" s="307">
        <f>SUM(O135:O137)</f>
        <v>42</v>
      </c>
      <c r="U138" s="310">
        <v>4</v>
      </c>
      <c r="V138" s="307">
        <f>COUNTIF($V$4:$V$131, "4")</f>
        <v>44</v>
      </c>
      <c r="W138" s="309">
        <f>SUMIF($V$4:$V$131, "4", $U$4:$U$131) /V138</f>
        <v>46.636946881674447</v>
      </c>
      <c r="X138" s="308" t="s">
        <v>305</v>
      </c>
      <c r="Y138" s="311">
        <f>SUMIF($V$4:$V$131, "4", $W$4:$W$131) /$V138</f>
        <v>0.52593648064245502</v>
      </c>
      <c r="AR138"/>
      <c r="AS138"/>
      <c r="AT138"/>
      <c r="AU138"/>
    </row>
    <row r="139" spans="1:63" x14ac:dyDescent="0.25">
      <c r="U139" s="312">
        <v>5</v>
      </c>
      <c r="V139" s="307">
        <f>COUNTIF($V$4:$V$131, "5")</f>
        <v>0</v>
      </c>
      <c r="W139" s="309" t="s">
        <v>419</v>
      </c>
      <c r="X139" s="308" t="s">
        <v>306</v>
      </c>
      <c r="Y139" s="311" t="s">
        <v>419</v>
      </c>
      <c r="AR139"/>
      <c r="AS139"/>
      <c r="AT139"/>
      <c r="AU139"/>
    </row>
    <row r="140" spans="1:63" x14ac:dyDescent="0.25">
      <c r="V140" s="307">
        <f>SUM(V135:V139)</f>
        <v>128</v>
      </c>
      <c r="Y140" s="119"/>
      <c r="AR140"/>
      <c r="AS140"/>
      <c r="AT140"/>
      <c r="AU140"/>
    </row>
    <row r="141" spans="1:63" x14ac:dyDescent="0.25">
      <c r="C141" s="306" t="s">
        <v>477</v>
      </c>
      <c r="F141" s="306" t="s">
        <v>398</v>
      </c>
      <c r="G141" s="306" t="s">
        <v>397</v>
      </c>
      <c r="H141" s="306" t="s">
        <v>396</v>
      </c>
      <c r="I141" s="306"/>
      <c r="J141" s="306" t="s">
        <v>398</v>
      </c>
      <c r="K141" s="306" t="s">
        <v>397</v>
      </c>
      <c r="L141" s="306" t="s">
        <v>396</v>
      </c>
      <c r="M141" s="306"/>
      <c r="N141" s="306" t="s">
        <v>398</v>
      </c>
      <c r="O141" s="306" t="s">
        <v>397</v>
      </c>
      <c r="P141" s="306" t="s">
        <v>396</v>
      </c>
      <c r="Q141" s="306" t="s">
        <v>398</v>
      </c>
      <c r="R141" s="306" t="s">
        <v>397</v>
      </c>
      <c r="S141" s="306" t="s">
        <v>396</v>
      </c>
      <c r="T141" s="134"/>
      <c r="V141" s="119"/>
      <c r="Y141" s="119"/>
      <c r="AR141"/>
      <c r="AS141"/>
      <c r="AT141"/>
      <c r="AU141"/>
    </row>
    <row r="142" spans="1:63" x14ac:dyDescent="0.25">
      <c r="C142" s="275" t="s">
        <v>458</v>
      </c>
      <c r="F142" s="562">
        <f>'App 7 - HH &amp; Capita'!F139</f>
        <v>1366009.8800000001</v>
      </c>
      <c r="G142" s="306">
        <f>'App 7 - HH &amp; Capita'!G139</f>
        <v>11.262437194228282</v>
      </c>
      <c r="H142" s="306">
        <f>'App 7 - HH &amp; Capita'!H139</f>
        <v>4.4574444913529669</v>
      </c>
      <c r="I142" s="306"/>
      <c r="J142" s="562">
        <f>'App 7 - HH &amp; Capita'!K139</f>
        <v>402592.37999999989</v>
      </c>
      <c r="K142" s="306">
        <f>'App 7 - HH &amp; Capita'!L139</f>
        <v>3.4281696310194416</v>
      </c>
      <c r="L142" s="306">
        <f>'App 7 - HH &amp; Capita'!M139</f>
        <v>1.3730728737341484</v>
      </c>
      <c r="M142" s="306"/>
      <c r="N142" s="562">
        <f>'App 7 - HH &amp; Capita'!O139</f>
        <v>366698.18000000005</v>
      </c>
      <c r="O142" s="306">
        <f>'App 7 - HH &amp; Capita'!P139</f>
        <v>5.7758001247591633</v>
      </c>
      <c r="P142" s="306">
        <f>'App 7 - HH &amp; Capita'!Q139</f>
        <v>2.2383128231168858</v>
      </c>
      <c r="Q142" s="562">
        <f>'App 7 - HH &amp; Capita'!R139</f>
        <v>142848.44000000003</v>
      </c>
      <c r="R142" s="306">
        <f>'App 7 - HH &amp; Capita'!S139</f>
        <v>7.5834802444067986</v>
      </c>
      <c r="S142" s="306">
        <f>'App 7 - HH &amp; Capita'!T139</f>
        <v>3.2048675947023875</v>
      </c>
      <c r="T142" s="134"/>
      <c r="U142" s="231">
        <f>AVERAGE(G142,K142,O142,R142)</f>
        <v>7.0124717986034213</v>
      </c>
      <c r="V142" s="119"/>
      <c r="Y142" s="119"/>
      <c r="AR142"/>
      <c r="AS142"/>
      <c r="AT142"/>
      <c r="AU142"/>
    </row>
    <row r="143" spans="1:63" x14ac:dyDescent="0.25">
      <c r="C143" s="275" t="s">
        <v>460</v>
      </c>
      <c r="F143" s="562">
        <f>'App 7 - HH &amp; Capita'!F140</f>
        <v>147477.26999999996</v>
      </c>
      <c r="G143" s="306">
        <f>'App 7 - HH &amp; Capita'!G140</f>
        <v>9.5451454645480709</v>
      </c>
      <c r="H143" s="306">
        <f>'App 7 - HH &amp; Capita'!H140</f>
        <v>4.3871841817390695</v>
      </c>
      <c r="I143" s="306"/>
      <c r="J143" s="562">
        <f>'App 7 - HH &amp; Capita'!K140</f>
        <v>67647.009999999995</v>
      </c>
      <c r="K143" s="306">
        <f>'App 7 - HH &amp; Capita'!L140</f>
        <v>4.0178392821760891</v>
      </c>
      <c r="L143" s="306">
        <f>'App 7 - HH &amp; Capita'!M140</f>
        <v>1.8640471954609568</v>
      </c>
      <c r="M143" s="306"/>
      <c r="N143" s="562">
        <f>'App 7 - HH &amp; Capita'!O140</f>
        <v>37040.520000000004</v>
      </c>
      <c r="O143" s="306">
        <f>'App 7 - HH &amp; Capita'!P140</f>
        <v>4.2526175503889077</v>
      </c>
      <c r="P143" s="306">
        <f>'App 7 - HH &amp; Capita'!Q140</f>
        <v>1.9901851891813416</v>
      </c>
      <c r="Q143" s="562">
        <f>'App 7 - HH &amp; Capita'!R140</f>
        <v>72125.09</v>
      </c>
      <c r="R143" s="306">
        <f>'App 7 - HH &amp; Capita'!S140</f>
        <v>8.0004900675356989</v>
      </c>
      <c r="S143" s="306">
        <f>'App 7 - HH &amp; Capita'!T140</f>
        <v>3.6647956751831714</v>
      </c>
      <c r="T143" s="134"/>
      <c r="U143" s="231">
        <f t="shared" ref="U143:U145" si="36">AVERAGE(G143,K143,O143,R143)</f>
        <v>6.4540230911621919</v>
      </c>
      <c r="V143" s="119"/>
      <c r="Y143" s="119"/>
      <c r="AS143"/>
      <c r="AT143"/>
      <c r="AU143"/>
    </row>
    <row r="144" spans="1:63" x14ac:dyDescent="0.25">
      <c r="C144" s="275" t="s">
        <v>463</v>
      </c>
      <c r="F144" s="562">
        <f>'App 7 - HH &amp; Capita'!F141</f>
        <v>227462.9</v>
      </c>
      <c r="G144" s="306">
        <f>'App 7 - HH &amp; Capita'!G141</f>
        <v>10.837018202871198</v>
      </c>
      <c r="H144" s="306">
        <f>'App 7 - HH &amp; Capita'!H141</f>
        <v>5.4373152429948712</v>
      </c>
      <c r="I144" s="306"/>
      <c r="J144" s="562">
        <f>'App 7 - HH &amp; Capita'!K141</f>
        <v>68521.710000000006</v>
      </c>
      <c r="K144" s="306">
        <f>'App 7 - HH &amp; Capita'!L141</f>
        <v>3.6035222130669755</v>
      </c>
      <c r="L144" s="306">
        <f>'App 7 - HH &amp; Capita'!M141</f>
        <v>1.7860605859703023</v>
      </c>
      <c r="M144" s="306"/>
      <c r="N144" s="562">
        <f>'App 7 - HH &amp; Capita'!O141</f>
        <v>22676.23</v>
      </c>
      <c r="O144" s="306">
        <f>'App 7 - HH &amp; Capita'!P141</f>
        <v>7.3809509859829756</v>
      </c>
      <c r="P144" s="306">
        <f>'App 7 - HH &amp; Capita'!Q141</f>
        <v>3.8817837858056303</v>
      </c>
      <c r="Q144" s="562">
        <f>'App 7 - HH &amp; Capita'!R141</f>
        <v>75126.81</v>
      </c>
      <c r="R144" s="306">
        <f>'App 7 - HH &amp; Capita'!S141</f>
        <v>6.6425119363395222</v>
      </c>
      <c r="S144" s="306">
        <f>'App 7 - HH &amp; Capita'!T141</f>
        <v>3.1451919717476828</v>
      </c>
      <c r="T144" s="134"/>
      <c r="U144" s="231">
        <f t="shared" si="36"/>
        <v>7.1160008345651686</v>
      </c>
      <c r="V144" s="119"/>
      <c r="Y144" s="119"/>
    </row>
    <row r="145" spans="3:47" x14ac:dyDescent="0.25">
      <c r="C145" s="306" t="s">
        <v>399</v>
      </c>
      <c r="F145" s="562">
        <f>SUM(F142:F144)</f>
        <v>1740950.05</v>
      </c>
      <c r="G145" s="306">
        <f>'App 7 - HH &amp; Capita'!G136</f>
        <v>11.037606425930134</v>
      </c>
      <c r="H145" s="306">
        <f>'App 7 - HH &amp; Capita'!H136</f>
        <v>4.5585946886229625</v>
      </c>
      <c r="I145" s="306"/>
      <c r="J145" s="562">
        <f>SUM(J142:J144)</f>
        <v>538761.09999999986</v>
      </c>
      <c r="K145" s="306">
        <f>'App 7 - HH &amp; Capita'!L136</f>
        <v>3.5146891211760778</v>
      </c>
      <c r="L145" s="306">
        <f>'App 7 - HH &amp; Capita'!M136</f>
        <v>1.4645798666235086</v>
      </c>
      <c r="M145" s="306"/>
      <c r="N145" s="562">
        <f>SUM(N142:N144)</f>
        <v>426414.93000000005</v>
      </c>
      <c r="O145" s="306">
        <f>'App 7 - HH &amp; Capita'!P136</f>
        <v>5.6650596298390452</v>
      </c>
      <c r="P145" s="306">
        <f>'App 7 - HH &amp; Capita'!Q136</f>
        <v>2.2647765281529351</v>
      </c>
      <c r="Q145" s="562">
        <f>SUM(Q142:Q144)</f>
        <v>290100.34000000003</v>
      </c>
      <c r="R145" s="306">
        <f>'App 7 - HH &amp; Capita'!S136</f>
        <v>7.4077232663726313</v>
      </c>
      <c r="S145" s="306">
        <f>'App 7 - HH &amp; Capita'!T136</f>
        <v>3.2913921713998135</v>
      </c>
      <c r="T145" s="134"/>
      <c r="U145" s="231">
        <f t="shared" si="36"/>
        <v>6.9062696108294723</v>
      </c>
      <c r="V145" s="119"/>
      <c r="Y145" s="119"/>
    </row>
    <row r="146" spans="3:47" x14ac:dyDescent="0.25"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134"/>
      <c r="V146" s="119"/>
      <c r="Y146" s="119"/>
    </row>
    <row r="147" spans="3:47" x14ac:dyDescent="0.25">
      <c r="C147" s="306" t="s">
        <v>404</v>
      </c>
      <c r="F147" s="306" t="s">
        <v>398</v>
      </c>
      <c r="G147" s="306" t="s">
        <v>397</v>
      </c>
      <c r="H147" s="306" t="s">
        <v>396</v>
      </c>
      <c r="I147" s="306"/>
      <c r="J147" s="306" t="s">
        <v>398</v>
      </c>
      <c r="K147" s="306" t="s">
        <v>397</v>
      </c>
      <c r="L147" s="306" t="s">
        <v>396</v>
      </c>
      <c r="M147" s="306"/>
      <c r="N147" s="306" t="s">
        <v>398</v>
      </c>
      <c r="O147" s="306" t="s">
        <v>397</v>
      </c>
      <c r="P147" s="306" t="s">
        <v>396</v>
      </c>
      <c r="Q147" s="306" t="s">
        <v>398</v>
      </c>
      <c r="R147" s="306" t="s">
        <v>397</v>
      </c>
      <c r="S147" s="306" t="s">
        <v>396</v>
      </c>
      <c r="T147" s="134"/>
      <c r="V147" s="119"/>
      <c r="Y147" s="119"/>
      <c r="AR147"/>
      <c r="AS147"/>
      <c r="AT147"/>
      <c r="AU147"/>
    </row>
    <row r="148" spans="3:47" x14ac:dyDescent="0.25">
      <c r="C148" s="275" t="s">
        <v>8</v>
      </c>
      <c r="F148" s="562">
        <v>1098742.8</v>
      </c>
      <c r="G148" s="306">
        <v>12.060974363189555</v>
      </c>
      <c r="H148" s="306">
        <v>4.7416184290272376</v>
      </c>
      <c r="I148" s="306"/>
      <c r="J148" s="562">
        <v>316824.65000000002</v>
      </c>
      <c r="K148" s="306">
        <v>3.6617343352143878</v>
      </c>
      <c r="L148" s="306">
        <v>1.4443842325985357</v>
      </c>
      <c r="M148" s="306"/>
      <c r="N148" s="562">
        <v>316995.83999999997</v>
      </c>
      <c r="O148" s="306">
        <v>6.9100031128119657</v>
      </c>
      <c r="P148" s="306">
        <v>2.6927358574354612</v>
      </c>
      <c r="Q148" s="562">
        <v>61903.210000000006</v>
      </c>
      <c r="R148" s="306">
        <v>8.9709596545127841</v>
      </c>
      <c r="S148" s="306">
        <v>3.6934219355626587</v>
      </c>
      <c r="T148" s="134"/>
      <c r="V148" s="119"/>
      <c r="Y148" s="119"/>
      <c r="AR148"/>
      <c r="AS148"/>
      <c r="AT148"/>
      <c r="AU148"/>
    </row>
    <row r="149" spans="3:47" x14ac:dyDescent="0.25">
      <c r="C149" s="275" t="s">
        <v>9</v>
      </c>
      <c r="F149" s="562">
        <v>348807.47000000003</v>
      </c>
      <c r="G149" s="306">
        <v>10.993875143267173</v>
      </c>
      <c r="H149" s="306">
        <v>4.6262000278918292</v>
      </c>
      <c r="I149" s="306"/>
      <c r="J149" s="562">
        <v>121172.63</v>
      </c>
      <c r="K149" s="306">
        <v>3.9722870396171057</v>
      </c>
      <c r="L149" s="306">
        <v>1.6716741302268743</v>
      </c>
      <c r="M149" s="306"/>
      <c r="N149" s="562">
        <v>95674.07</v>
      </c>
      <c r="O149" s="306">
        <v>7.4859059383939357</v>
      </c>
      <c r="P149" s="306">
        <v>3.050462592822643</v>
      </c>
      <c r="Q149" s="562">
        <v>104090.89</v>
      </c>
      <c r="R149" s="306">
        <v>9.6638370777712659</v>
      </c>
      <c r="S149" s="306">
        <v>3.9672809880058439</v>
      </c>
      <c r="T149" s="134"/>
      <c r="V149" s="119"/>
      <c r="Y149" s="119"/>
      <c r="AR149"/>
      <c r="AS149"/>
      <c r="AT149"/>
      <c r="AU149"/>
    </row>
    <row r="150" spans="3:47" x14ac:dyDescent="0.25">
      <c r="C150" s="275" t="s">
        <v>10</v>
      </c>
      <c r="F150" s="562">
        <v>156470.74</v>
      </c>
      <c r="G150" s="306">
        <v>9.1483925753313677</v>
      </c>
      <c r="H150" s="306">
        <v>4.2828533217007418</v>
      </c>
      <c r="I150" s="306"/>
      <c r="J150" s="562">
        <v>70208.39</v>
      </c>
      <c r="K150" s="306">
        <v>4.1987981868143827</v>
      </c>
      <c r="L150" s="306">
        <v>1.9682063530301817</v>
      </c>
      <c r="M150" s="306"/>
      <c r="N150" s="562">
        <v>37070.5</v>
      </c>
      <c r="O150" s="306">
        <v>7.2723531110420572</v>
      </c>
      <c r="P150" s="306">
        <v>3.6354158758304758</v>
      </c>
      <c r="Q150" s="562">
        <v>87964.27</v>
      </c>
      <c r="R150" s="306">
        <v>9.9225176523352889</v>
      </c>
      <c r="S150" s="306">
        <v>4.4903524498061929</v>
      </c>
      <c r="T150" s="134"/>
      <c r="V150" s="119"/>
      <c r="Y150" s="119"/>
      <c r="AS150"/>
      <c r="AT150"/>
      <c r="AU150"/>
    </row>
    <row r="151" spans="3:47" x14ac:dyDescent="0.25">
      <c r="C151" s="275" t="s">
        <v>11</v>
      </c>
      <c r="F151" s="562">
        <v>227234.30999999994</v>
      </c>
      <c r="G151" s="306">
        <v>10.613202418323839</v>
      </c>
      <c r="H151" s="306">
        <v>5.2605557593525285</v>
      </c>
      <c r="I151" s="306"/>
      <c r="J151" s="562">
        <v>62773.140000000014</v>
      </c>
      <c r="K151" s="306">
        <v>3.2259141054556499</v>
      </c>
      <c r="L151" s="306">
        <v>1.5952053099542181</v>
      </c>
      <c r="M151" s="306"/>
      <c r="N151" s="562">
        <v>24468.100000000006</v>
      </c>
      <c r="O151" s="306">
        <v>6.175313786833927</v>
      </c>
      <c r="P151" s="306">
        <v>2.9862433917092677</v>
      </c>
      <c r="Q151" s="562">
        <v>81963.41</v>
      </c>
      <c r="R151" s="306">
        <v>7.8278676155985449</v>
      </c>
      <c r="S151" s="306">
        <v>3.8488293864058765</v>
      </c>
      <c r="T151" s="134"/>
      <c r="V151" s="119"/>
      <c r="Y151" s="119"/>
    </row>
    <row r="152" spans="3:47" x14ac:dyDescent="0.25">
      <c r="C152" s="306" t="s">
        <v>399</v>
      </c>
      <c r="F152" s="562">
        <v>1831255.3199999998</v>
      </c>
      <c r="G152" s="306">
        <v>11.35024432286756</v>
      </c>
      <c r="H152" s="306">
        <v>4.7337419590604908</v>
      </c>
      <c r="I152" s="306"/>
      <c r="J152" s="562">
        <v>570978.81000000006</v>
      </c>
      <c r="K152" s="306">
        <v>3.7268283192860845</v>
      </c>
      <c r="L152" s="306">
        <v>1.5564050177040722</v>
      </c>
      <c r="M152" s="306"/>
      <c r="N152" s="562">
        <v>474208.51</v>
      </c>
      <c r="O152" s="306">
        <v>7.0029867749003989</v>
      </c>
      <c r="P152" s="306">
        <v>2.8314838510783957</v>
      </c>
      <c r="Q152" s="562">
        <v>335921.78</v>
      </c>
      <c r="R152" s="306">
        <v>9.0771486533562502</v>
      </c>
      <c r="S152" s="306">
        <v>4.0046458275373862</v>
      </c>
      <c r="T152" s="134"/>
      <c r="V152" s="119"/>
      <c r="Y152" s="119"/>
    </row>
    <row r="153" spans="3:47" x14ac:dyDescent="0.25"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134"/>
      <c r="V153" s="119"/>
      <c r="Y153" s="119"/>
    </row>
    <row r="154" spans="3:47" x14ac:dyDescent="0.25">
      <c r="C154" s="306" t="s">
        <v>395</v>
      </c>
      <c r="F154" s="306" t="s">
        <v>398</v>
      </c>
      <c r="G154" s="306" t="s">
        <v>397</v>
      </c>
      <c r="H154" s="306" t="s">
        <v>396</v>
      </c>
      <c r="I154" s="306"/>
      <c r="J154" s="306" t="s">
        <v>398</v>
      </c>
      <c r="K154" s="306" t="s">
        <v>397</v>
      </c>
      <c r="L154" s="306" t="s">
        <v>396</v>
      </c>
      <c r="M154" s="306"/>
      <c r="N154" s="306" t="s">
        <v>398</v>
      </c>
      <c r="O154" s="306" t="s">
        <v>397</v>
      </c>
      <c r="P154" s="306" t="s">
        <v>396</v>
      </c>
      <c r="Q154" s="306" t="s">
        <v>398</v>
      </c>
      <c r="R154" s="306" t="s">
        <v>397</v>
      </c>
      <c r="S154" s="306" t="s">
        <v>396</v>
      </c>
      <c r="T154" s="134"/>
      <c r="V154" s="119"/>
      <c r="Y154" s="119"/>
    </row>
    <row r="155" spans="3:47" x14ac:dyDescent="0.25">
      <c r="C155" s="275" t="s">
        <v>8</v>
      </c>
      <c r="F155" s="562">
        <v>1057327.4300000002</v>
      </c>
      <c r="G155" s="306">
        <v>12.395840709525004</v>
      </c>
      <c r="H155" s="306">
        <v>4.6465405283711227</v>
      </c>
      <c r="I155" s="306"/>
      <c r="J155" s="562">
        <v>307935.63999999996</v>
      </c>
      <c r="K155" s="306">
        <v>3.6856169473084557</v>
      </c>
      <c r="L155" s="306">
        <v>1.3813549078977869</v>
      </c>
      <c r="M155" s="306"/>
      <c r="N155" s="562">
        <v>289188.90000000002</v>
      </c>
      <c r="O155" s="306">
        <v>5.3964997093765135</v>
      </c>
      <c r="P155" s="306">
        <v>2.0236161357155238</v>
      </c>
      <c r="Q155" s="562">
        <v>48583.53</v>
      </c>
      <c r="R155" s="306">
        <v>6.1160409908626088</v>
      </c>
      <c r="S155" s="306">
        <v>2.3740726000694981</v>
      </c>
      <c r="T155" s="134"/>
      <c r="V155" s="119"/>
      <c r="Y155" s="119"/>
    </row>
    <row r="156" spans="3:47" x14ac:dyDescent="0.25">
      <c r="C156" s="275" t="s">
        <v>9</v>
      </c>
      <c r="F156" s="562">
        <v>341847.7</v>
      </c>
      <c r="G156" s="306">
        <v>11.438165700034505</v>
      </c>
      <c r="H156" s="306">
        <v>4.8216639333325819</v>
      </c>
      <c r="I156" s="306"/>
      <c r="J156" s="562">
        <v>117830.15</v>
      </c>
      <c r="K156" s="306">
        <v>4.000862376078004</v>
      </c>
      <c r="L156" s="306">
        <v>1.6878287666834089</v>
      </c>
      <c r="M156" s="306"/>
      <c r="N156" s="562">
        <v>98361.659999999989</v>
      </c>
      <c r="O156" s="306">
        <v>6.2709741930432878</v>
      </c>
      <c r="P156" s="306">
        <v>2.5477529456550831</v>
      </c>
      <c r="Q156" s="562">
        <v>80425.91</v>
      </c>
      <c r="R156" s="306">
        <v>8.8981636743506982</v>
      </c>
      <c r="S156" s="306">
        <v>3.721141506169511</v>
      </c>
      <c r="T156" s="134"/>
      <c r="V156" s="119"/>
      <c r="Y156" s="119"/>
    </row>
    <row r="157" spans="3:47" x14ac:dyDescent="0.25">
      <c r="C157" s="275" t="s">
        <v>10</v>
      </c>
      <c r="F157" s="562">
        <v>156097.65</v>
      </c>
      <c r="G157" s="306">
        <v>9.2286246340192211</v>
      </c>
      <c r="H157" s="306">
        <v>4.2306543919819211</v>
      </c>
      <c r="I157" s="306"/>
      <c r="J157" s="562">
        <v>70102.340000000011</v>
      </c>
      <c r="K157" s="306">
        <v>4.2628091619244248</v>
      </c>
      <c r="L157" s="306">
        <v>1.9592050252599871</v>
      </c>
      <c r="M157" s="306"/>
      <c r="N157" s="562">
        <v>32586.61</v>
      </c>
      <c r="O157" s="306">
        <v>6.5885041993699929</v>
      </c>
      <c r="P157" s="306">
        <v>3.1517663165446126</v>
      </c>
      <c r="Q157" s="562">
        <v>78844.73000000001</v>
      </c>
      <c r="R157" s="306">
        <v>8.7331229564123269</v>
      </c>
      <c r="S157" s="306">
        <v>3.9270377552826905</v>
      </c>
      <c r="T157" s="134"/>
      <c r="V157" s="119"/>
      <c r="Y157" s="119"/>
    </row>
    <row r="158" spans="3:47" x14ac:dyDescent="0.25">
      <c r="C158" s="275" t="s">
        <v>11</v>
      </c>
      <c r="F158" s="562">
        <v>223950.6</v>
      </c>
      <c r="G158" s="306">
        <v>10.742523952478406</v>
      </c>
      <c r="H158" s="306">
        <v>5.2763920941418068</v>
      </c>
      <c r="I158" s="306"/>
      <c r="J158" s="562">
        <v>67727.099999999991</v>
      </c>
      <c r="K158" s="306">
        <v>3.7128569577193113</v>
      </c>
      <c r="L158" s="306">
        <v>1.7851250385784643</v>
      </c>
      <c r="M158" s="306"/>
      <c r="N158" s="562">
        <v>20866.900000000001</v>
      </c>
      <c r="O158" s="306">
        <v>5.4957207601076243</v>
      </c>
      <c r="P158" s="306">
        <v>2.6919687673083144</v>
      </c>
      <c r="Q158" s="562">
        <v>70382.37</v>
      </c>
      <c r="R158" s="306">
        <v>7.3812093197686419</v>
      </c>
      <c r="S158" s="306">
        <v>3.4901366402855016</v>
      </c>
      <c r="T158" s="134"/>
      <c r="V158" s="119"/>
      <c r="Y158" s="119"/>
    </row>
    <row r="159" spans="3:47" x14ac:dyDescent="0.25">
      <c r="C159" s="306" t="s">
        <v>399</v>
      </c>
      <c r="F159" s="562">
        <v>1779223.3800000006</v>
      </c>
      <c r="G159" s="306">
        <v>11.63308090614389</v>
      </c>
      <c r="H159" s="306">
        <v>4.7095501225256351</v>
      </c>
      <c r="I159" s="306"/>
      <c r="J159" s="562">
        <v>563595.23000000021</v>
      </c>
      <c r="K159" s="306">
        <v>3.8161164357084179</v>
      </c>
      <c r="L159" s="306">
        <v>1.5379645521185876</v>
      </c>
      <c r="M159" s="306"/>
      <c r="N159" s="562">
        <v>441004.07000000007</v>
      </c>
      <c r="O159" s="306">
        <v>5.6527112639679009</v>
      </c>
      <c r="P159" s="306">
        <v>2.2093848594048531</v>
      </c>
      <c r="Q159" s="562">
        <v>278236.53999999998</v>
      </c>
      <c r="R159" s="306">
        <v>7.8275741544151121</v>
      </c>
      <c r="S159" s="306">
        <v>3.3799001626789438</v>
      </c>
      <c r="T159" s="134"/>
      <c r="V159" s="119"/>
      <c r="Y159" s="119"/>
    </row>
    <row r="160" spans="3:47" x14ac:dyDescent="0.25"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134"/>
      <c r="V160" s="119"/>
      <c r="Y160" s="119"/>
    </row>
    <row r="161" spans="6:62" x14ac:dyDescent="0.25"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134"/>
      <c r="V161" s="119"/>
      <c r="Y161" s="119"/>
    </row>
    <row r="162" spans="6:62" x14ac:dyDescent="0.25"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134"/>
      <c r="V162" s="119"/>
      <c r="Y162" s="119"/>
    </row>
    <row r="163" spans="6:62" x14ac:dyDescent="0.25"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134"/>
      <c r="V163" s="119"/>
      <c r="Y163" s="119"/>
    </row>
    <row r="164" spans="6:62" x14ac:dyDescent="0.25"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134"/>
      <c r="V164" s="119"/>
      <c r="Y164" s="119"/>
    </row>
    <row r="165" spans="6:62" x14ac:dyDescent="0.25"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134"/>
      <c r="V165" s="119"/>
      <c r="Y165" s="119"/>
    </row>
    <row r="166" spans="6:62" x14ac:dyDescent="0.25">
      <c r="Y166" s="119"/>
    </row>
    <row r="167" spans="6:62" x14ac:dyDescent="0.25">
      <c r="Y167" s="119"/>
    </row>
    <row r="174" spans="6:62" x14ac:dyDescent="0.25">
      <c r="BJ174" s="612"/>
    </row>
    <row r="175" spans="6:62" x14ac:dyDescent="0.25">
      <c r="BJ175" s="411"/>
    </row>
    <row r="176" spans="6:62" x14ac:dyDescent="0.25">
      <c r="BJ176" s="582"/>
    </row>
    <row r="177" spans="25:62" x14ac:dyDescent="0.25">
      <c r="BJ177" s="582"/>
    </row>
    <row r="178" spans="25:62" x14ac:dyDescent="0.25">
      <c r="BJ178" s="582"/>
    </row>
    <row r="179" spans="25:62" x14ac:dyDescent="0.25">
      <c r="BJ179" s="582"/>
    </row>
    <row r="184" spans="25:62" x14ac:dyDescent="0.25">
      <c r="Z184" s="582"/>
      <c r="AA184" s="582"/>
      <c r="AB184" s="582"/>
      <c r="AC184" s="582"/>
      <c r="AD184" s="582"/>
      <c r="AE184" s="582"/>
    </row>
    <row r="185" spans="25:62" x14ac:dyDescent="0.25">
      <c r="Y185" s="619"/>
      <c r="Z185" s="582"/>
      <c r="AA185" s="582"/>
      <c r="AB185" s="582"/>
      <c r="AC185" s="582"/>
      <c r="AD185" s="582"/>
      <c r="AE185" s="582"/>
      <c r="AQ185" s="612"/>
      <c r="AW185" s="612"/>
      <c r="AX185" s="612"/>
      <c r="AY185" s="612"/>
      <c r="AZ185" s="612"/>
      <c r="BA185" s="612"/>
      <c r="BB185" s="612"/>
      <c r="BC185" s="612"/>
      <c r="BD185" s="612"/>
      <c r="BE185" s="612"/>
      <c r="BF185" s="612"/>
      <c r="BG185" s="612"/>
      <c r="BH185" s="612"/>
      <c r="BI185" s="612"/>
    </row>
    <row r="186" spans="25:62" x14ac:dyDescent="0.25">
      <c r="Y186" s="620"/>
      <c r="Z186" s="582"/>
      <c r="AA186" s="582"/>
      <c r="AB186" s="582"/>
      <c r="AC186" s="582"/>
      <c r="AD186" s="582"/>
      <c r="AE186" s="582"/>
      <c r="AQ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411"/>
      <c r="BG186" s="411"/>
      <c r="BH186" s="411"/>
      <c r="BI186" s="411"/>
    </row>
    <row r="187" spans="25:62" x14ac:dyDescent="0.25">
      <c r="Z187" s="582"/>
      <c r="AA187" s="582"/>
      <c r="AB187" s="582"/>
      <c r="AC187" s="582"/>
      <c r="AD187" s="582"/>
      <c r="AE187" s="582"/>
      <c r="AQ187" s="582"/>
      <c r="AW187" s="582"/>
      <c r="AX187" s="582"/>
      <c r="AY187" s="582"/>
      <c r="AZ187" s="582"/>
      <c r="BA187" s="582"/>
      <c r="BB187" s="582"/>
      <c r="BC187" s="582"/>
      <c r="BD187" s="582"/>
      <c r="BE187" s="582"/>
      <c r="BF187" s="582"/>
      <c r="BG187" s="582"/>
      <c r="BH187" s="582"/>
      <c r="BI187" s="582"/>
    </row>
    <row r="188" spans="25:62" x14ac:dyDescent="0.25">
      <c r="AQ188" s="582"/>
      <c r="AW188" s="582"/>
      <c r="AX188" s="582"/>
      <c r="AY188" s="582"/>
      <c r="AZ188" s="582"/>
      <c r="BA188" s="582"/>
      <c r="BB188" s="582"/>
      <c r="BC188" s="582"/>
      <c r="BD188" s="582"/>
      <c r="BE188" s="582"/>
      <c r="BF188" s="582"/>
      <c r="BG188" s="582"/>
      <c r="BH188" s="582"/>
      <c r="BI188" s="582"/>
    </row>
    <row r="189" spans="25:62" x14ac:dyDescent="0.25">
      <c r="AQ189" s="582"/>
      <c r="AV189" s="612"/>
      <c r="AW189" s="582"/>
      <c r="AX189" s="582"/>
      <c r="AY189" s="582"/>
      <c r="AZ189" s="582"/>
      <c r="BA189" s="582"/>
      <c r="BB189" s="582"/>
      <c r="BC189" s="582"/>
      <c r="BD189" s="582"/>
      <c r="BE189" s="582"/>
      <c r="BF189" s="582"/>
      <c r="BG189" s="582"/>
      <c r="BH189" s="582"/>
      <c r="BI189" s="582"/>
    </row>
    <row r="190" spans="25:62" x14ac:dyDescent="0.25">
      <c r="AQ190" s="582"/>
      <c r="AV190" s="411"/>
      <c r="AW190" s="582"/>
      <c r="AX190" s="582"/>
      <c r="AY190" s="582"/>
      <c r="AZ190" s="582"/>
      <c r="BA190" s="582"/>
      <c r="BB190" s="582"/>
      <c r="BC190" s="582"/>
      <c r="BD190" s="582"/>
      <c r="BE190" s="582"/>
      <c r="BF190" s="582"/>
      <c r="BG190" s="582"/>
      <c r="BH190" s="582"/>
      <c r="BI190" s="582"/>
    </row>
    <row r="191" spans="25:62" x14ac:dyDescent="0.25">
      <c r="AF191" s="612"/>
      <c r="AG191" s="612"/>
      <c r="AV191" s="582"/>
    </row>
    <row r="192" spans="25:62" x14ac:dyDescent="0.25">
      <c r="Y192" s="621"/>
      <c r="AF192" s="411"/>
      <c r="AG192" s="411"/>
      <c r="AH192" s="612"/>
      <c r="AI192" s="612"/>
      <c r="AJ192" s="612"/>
      <c r="AK192" s="612"/>
      <c r="AL192" s="612"/>
      <c r="AV192" s="582"/>
    </row>
    <row r="193" spans="32:48" x14ac:dyDescent="0.25">
      <c r="AF193" s="582"/>
      <c r="AG193" s="582"/>
      <c r="AH193" s="411"/>
      <c r="AI193" s="411"/>
      <c r="AJ193" s="411"/>
      <c r="AK193" s="411"/>
      <c r="AL193" s="411"/>
      <c r="AM193" s="612"/>
      <c r="AN193" s="612"/>
      <c r="AO193" s="612"/>
      <c r="AP193" s="612"/>
      <c r="AV193" s="582"/>
    </row>
    <row r="194" spans="32:48" x14ac:dyDescent="0.25">
      <c r="AF194" s="582"/>
      <c r="AG194" s="582"/>
      <c r="AH194" s="582"/>
      <c r="AI194" s="582"/>
      <c r="AJ194" s="582"/>
      <c r="AK194" s="582"/>
      <c r="AL194" s="582"/>
      <c r="AM194" s="411"/>
      <c r="AN194" s="411"/>
      <c r="AO194" s="411"/>
      <c r="AP194" s="411"/>
      <c r="AV194" s="582"/>
    </row>
    <row r="195" spans="32:48" x14ac:dyDescent="0.25">
      <c r="AF195" s="582"/>
      <c r="AG195" s="582"/>
      <c r="AH195" s="582"/>
      <c r="AI195" s="582"/>
      <c r="AJ195" s="582"/>
      <c r="AK195" s="582"/>
      <c r="AL195" s="582"/>
      <c r="AM195" s="582"/>
      <c r="AN195" s="582"/>
      <c r="AO195" s="582"/>
      <c r="AP195" s="582"/>
    </row>
    <row r="196" spans="32:48" x14ac:dyDescent="0.25">
      <c r="AF196" s="582"/>
      <c r="AG196" s="582"/>
      <c r="AH196" s="582"/>
      <c r="AI196" s="582"/>
      <c r="AJ196" s="582"/>
      <c r="AK196" s="582"/>
      <c r="AL196" s="582"/>
      <c r="AM196" s="582"/>
      <c r="AN196" s="582"/>
      <c r="AO196" s="582"/>
      <c r="AP196" s="582"/>
    </row>
    <row r="197" spans="32:48" x14ac:dyDescent="0.25">
      <c r="AH197" s="582"/>
      <c r="AI197" s="582"/>
      <c r="AJ197" s="582"/>
      <c r="AK197" s="582"/>
      <c r="AL197" s="582"/>
      <c r="AM197" s="582"/>
      <c r="AN197" s="582"/>
      <c r="AO197" s="582"/>
      <c r="AP197" s="582"/>
    </row>
    <row r="198" spans="32:48" x14ac:dyDescent="0.25">
      <c r="AM198" s="582"/>
      <c r="AN198" s="582"/>
      <c r="AO198" s="582"/>
      <c r="AP198" s="582"/>
    </row>
    <row r="204" spans="32:48" x14ac:dyDescent="0.25">
      <c r="AT204" s="612"/>
    </row>
    <row r="205" spans="32:48" x14ac:dyDescent="0.25">
      <c r="AT205" s="411"/>
      <c r="AU205" s="612"/>
    </row>
    <row r="206" spans="32:48" x14ac:dyDescent="0.25">
      <c r="AT206" s="582"/>
      <c r="AU206" s="411"/>
    </row>
    <row r="207" spans="32:48" x14ac:dyDescent="0.25">
      <c r="AT207" s="582"/>
      <c r="AU207" s="582"/>
    </row>
    <row r="208" spans="32:48" x14ac:dyDescent="0.25">
      <c r="AR208" s="612"/>
      <c r="AT208" s="582"/>
      <c r="AU208" s="582"/>
    </row>
    <row r="209" spans="44:47" x14ac:dyDescent="0.25">
      <c r="AR209" s="411"/>
      <c r="AS209" s="612"/>
      <c r="AT209" s="582"/>
      <c r="AU209" s="582"/>
    </row>
    <row r="210" spans="44:47" x14ac:dyDescent="0.25">
      <c r="AR210" s="582"/>
      <c r="AS210" s="411"/>
      <c r="AU210" s="582"/>
    </row>
    <row r="211" spans="44:47" x14ac:dyDescent="0.25">
      <c r="AR211" s="582"/>
      <c r="AS211" s="582"/>
    </row>
    <row r="212" spans="44:47" x14ac:dyDescent="0.25">
      <c r="AR212" s="582"/>
      <c r="AS212" s="582"/>
    </row>
    <row r="213" spans="44:47" x14ac:dyDescent="0.25">
      <c r="AR213" s="582"/>
      <c r="AS213" s="582"/>
    </row>
    <row r="214" spans="44:47" x14ac:dyDescent="0.25">
      <c r="AS214" s="582"/>
    </row>
  </sheetData>
  <mergeCells count="61">
    <mergeCell ref="AB6:AD6"/>
    <mergeCell ref="AE6:AG6"/>
    <mergeCell ref="AH6:AJ6"/>
    <mergeCell ref="AK6:AM6"/>
    <mergeCell ref="F2:H2"/>
    <mergeCell ref="J2:L2"/>
    <mergeCell ref="N2:P2"/>
    <mergeCell ref="Q2:S2"/>
    <mergeCell ref="Z5:AP5"/>
    <mergeCell ref="AO7:AQ7"/>
    <mergeCell ref="AB7:AB8"/>
    <mergeCell ref="AC7:AD7"/>
    <mergeCell ref="AE7:AE8"/>
    <mergeCell ref="AF7:AG7"/>
    <mergeCell ref="AH7:AH8"/>
    <mergeCell ref="AI7:AJ7"/>
    <mergeCell ref="AK7:AK8"/>
    <mergeCell ref="AL7:AM7"/>
    <mergeCell ref="AB29:AB30"/>
    <mergeCell ref="AC29:AD29"/>
    <mergeCell ref="AE29:AE30"/>
    <mergeCell ref="AO28:AQ28"/>
    <mergeCell ref="Z27:AP27"/>
    <mergeCell ref="AB28:AD28"/>
    <mergeCell ref="AE28:AG28"/>
    <mergeCell ref="AH28:AJ28"/>
    <mergeCell ref="AK28:AM28"/>
    <mergeCell ref="AF29:AG29"/>
    <mergeCell ref="AH29:AH30"/>
    <mergeCell ref="AI29:AJ29"/>
    <mergeCell ref="AK29:AK30"/>
    <mergeCell ref="AL29:AM29"/>
    <mergeCell ref="AB51:AB52"/>
    <mergeCell ref="AC51:AD51"/>
    <mergeCell ref="AE51:AE52"/>
    <mergeCell ref="AO50:AQ50"/>
    <mergeCell ref="Z49:AP49"/>
    <mergeCell ref="AB50:AD50"/>
    <mergeCell ref="AE50:AG50"/>
    <mergeCell ref="AH50:AJ50"/>
    <mergeCell ref="AK50:AM50"/>
    <mergeCell ref="AF51:AG51"/>
    <mergeCell ref="AH51:AH52"/>
    <mergeCell ref="AI51:AJ51"/>
    <mergeCell ref="AK51:AK52"/>
    <mergeCell ref="AL51:AM51"/>
    <mergeCell ref="Z72:AP72"/>
    <mergeCell ref="AB73:AD73"/>
    <mergeCell ref="AE73:AG73"/>
    <mergeCell ref="AH73:AJ73"/>
    <mergeCell ref="AK73:AM73"/>
    <mergeCell ref="AL74:AM74"/>
    <mergeCell ref="AB74:AB75"/>
    <mergeCell ref="AC74:AD74"/>
    <mergeCell ref="AE74:AE75"/>
    <mergeCell ref="AO73:AQ73"/>
    <mergeCell ref="Z94:AE94"/>
    <mergeCell ref="AF74:AG74"/>
    <mergeCell ref="AH74:AH75"/>
    <mergeCell ref="AI74:AJ74"/>
    <mergeCell ref="AK74:AK75"/>
  </mergeCells>
  <hyperlinks>
    <hyperlink ref="D62" location="'2009-10'!A160" display="Bottom" xr:uid="{FA648118-DB6E-4628-B5E8-45AC2A70A02E}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D6A0D-B848-4F66-864F-B8F2D3FD400C}">
  <dimension ref="A1:X14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18" sqref="G18"/>
    </sheetView>
  </sheetViews>
  <sheetFormatPr defaultColWidth="9.140625" defaultRowHeight="11.25" x14ac:dyDescent="0.2"/>
  <cols>
    <col min="1" max="1" width="5.28515625" style="273" bestFit="1" customWidth="1"/>
    <col min="2" max="2" width="26" style="273" bestFit="1" customWidth="1"/>
    <col min="3" max="3" width="15.42578125" style="273" bestFit="1" customWidth="1"/>
    <col min="4" max="4" width="3" style="273" bestFit="1" customWidth="1"/>
    <col min="5" max="6" width="5.140625" style="273" bestFit="1" customWidth="1"/>
    <col min="7" max="7" width="6.140625" style="273" bestFit="1" customWidth="1"/>
    <col min="8" max="10" width="5.140625" style="273" bestFit="1" customWidth="1"/>
    <col min="11" max="11" width="6.140625" style="273" bestFit="1" customWidth="1"/>
    <col min="12" max="13" width="6.28515625" style="273" bestFit="1" customWidth="1"/>
    <col min="14" max="16" width="6" style="273" bestFit="1" customWidth="1"/>
    <col min="17" max="17" width="9.140625" style="273"/>
    <col min="18" max="18" width="7.28515625" style="273" customWidth="1"/>
    <col min="19" max="19" width="7.28515625" style="273" bestFit="1" customWidth="1"/>
    <col min="20" max="21" width="6" style="273" bestFit="1" customWidth="1"/>
    <col min="22" max="22" width="36.5703125" style="273" bestFit="1" customWidth="1"/>
    <col min="23" max="16384" width="9.140625" style="273"/>
  </cols>
  <sheetData>
    <row r="1" spans="1:22" s="271" customFormat="1" ht="12.75" x14ac:dyDescent="0.2">
      <c r="B1" s="272" t="s">
        <v>400</v>
      </c>
      <c r="E1" s="793" t="s">
        <v>274</v>
      </c>
      <c r="F1" s="793"/>
      <c r="G1" s="793"/>
      <c r="H1" s="793"/>
      <c r="I1" s="793"/>
      <c r="J1" s="793"/>
      <c r="K1" s="793"/>
      <c r="L1" s="793"/>
      <c r="M1" s="793"/>
      <c r="N1" s="793"/>
      <c r="O1" s="793"/>
      <c r="P1" s="793"/>
      <c r="Q1" s="793"/>
      <c r="R1" s="793"/>
      <c r="S1" s="793"/>
      <c r="T1" s="793"/>
      <c r="U1" s="793"/>
    </row>
    <row r="2" spans="1:22" ht="15.75" x14ac:dyDescent="0.25">
      <c r="B2" s="219"/>
      <c r="E2" s="273" t="s">
        <v>485</v>
      </c>
      <c r="F2" s="273" t="s">
        <v>486</v>
      </c>
      <c r="G2" s="273" t="s">
        <v>487</v>
      </c>
      <c r="H2" s="273" t="s">
        <v>488</v>
      </c>
      <c r="I2" s="273" t="s">
        <v>489</v>
      </c>
      <c r="J2" s="273" t="s">
        <v>490</v>
      </c>
      <c r="K2" s="273" t="s">
        <v>491</v>
      </c>
      <c r="L2" s="273" t="s">
        <v>492</v>
      </c>
      <c r="M2" s="273" t="s">
        <v>493</v>
      </c>
      <c r="N2" s="273" t="s">
        <v>494</v>
      </c>
      <c r="O2" s="273" t="s">
        <v>495</v>
      </c>
      <c r="P2" s="273" t="s">
        <v>496</v>
      </c>
      <c r="Q2" s="273" t="s">
        <v>497</v>
      </c>
      <c r="R2" s="273" t="s">
        <v>498</v>
      </c>
      <c r="S2" s="273" t="s">
        <v>499</v>
      </c>
      <c r="T2" s="273" t="s">
        <v>500</v>
      </c>
      <c r="U2" s="273" t="s">
        <v>501</v>
      </c>
      <c r="V2" s="273" t="s">
        <v>502</v>
      </c>
    </row>
    <row r="3" spans="1:22" ht="45" x14ac:dyDescent="0.2">
      <c r="A3" s="32" t="s">
        <v>41</v>
      </c>
      <c r="B3" s="33" t="s">
        <v>5</v>
      </c>
      <c r="C3" s="32" t="s">
        <v>14</v>
      </c>
      <c r="D3" s="34" t="s">
        <v>4</v>
      </c>
      <c r="E3" s="225" t="s">
        <v>243</v>
      </c>
      <c r="F3" s="225" t="s">
        <v>244</v>
      </c>
      <c r="G3" s="225" t="s">
        <v>245</v>
      </c>
      <c r="H3" s="225" t="s">
        <v>246</v>
      </c>
      <c r="I3" s="225" t="s">
        <v>247</v>
      </c>
      <c r="J3" s="225" t="s">
        <v>248</v>
      </c>
      <c r="K3" s="225" t="s">
        <v>249</v>
      </c>
      <c r="L3" s="225" t="s">
        <v>250</v>
      </c>
      <c r="M3" s="225" t="s">
        <v>251</v>
      </c>
      <c r="N3" s="225" t="s">
        <v>252</v>
      </c>
      <c r="O3" s="225" t="s">
        <v>253</v>
      </c>
      <c r="P3" s="225" t="s">
        <v>254</v>
      </c>
      <c r="Q3" s="225" t="s">
        <v>255</v>
      </c>
      <c r="R3" s="225" t="s">
        <v>256</v>
      </c>
      <c r="S3" s="225" t="s">
        <v>257</v>
      </c>
      <c r="T3" s="225" t="s">
        <v>258</v>
      </c>
      <c r="U3" s="225" t="s">
        <v>259</v>
      </c>
      <c r="V3" s="225" t="s">
        <v>260</v>
      </c>
    </row>
    <row r="4" spans="1:22" x14ac:dyDescent="0.2">
      <c r="A4" s="9">
        <v>10050</v>
      </c>
      <c r="B4" s="9" t="s">
        <v>71</v>
      </c>
      <c r="C4" s="9" t="s">
        <v>66</v>
      </c>
      <c r="D4" s="29" t="s">
        <v>1</v>
      </c>
      <c r="E4" s="641">
        <v>1</v>
      </c>
      <c r="F4" s="641">
        <v>1</v>
      </c>
      <c r="G4" s="641">
        <v>1</v>
      </c>
      <c r="H4" s="641">
        <v>1</v>
      </c>
      <c r="I4" s="641">
        <v>1</v>
      </c>
      <c r="J4" s="641">
        <v>1</v>
      </c>
      <c r="K4" s="641">
        <v>1</v>
      </c>
      <c r="L4" s="641">
        <v>1</v>
      </c>
      <c r="M4" s="641">
        <v>1</v>
      </c>
      <c r="N4" s="641"/>
      <c r="O4" s="641">
        <v>1</v>
      </c>
      <c r="P4" s="641">
        <v>1</v>
      </c>
      <c r="Q4" s="641"/>
      <c r="R4" s="641"/>
      <c r="S4" s="641"/>
      <c r="T4" s="641"/>
      <c r="U4" s="641"/>
      <c r="V4" s="641"/>
    </row>
    <row r="5" spans="1:22" x14ac:dyDescent="0.2">
      <c r="A5" s="8">
        <v>10180</v>
      </c>
      <c r="B5" s="8" t="s">
        <v>72</v>
      </c>
      <c r="C5" s="8" t="s">
        <v>16</v>
      </c>
      <c r="D5" s="29" t="s">
        <v>1</v>
      </c>
      <c r="E5" s="641">
        <v>1</v>
      </c>
      <c r="F5" s="641">
        <v>1</v>
      </c>
      <c r="G5" s="641">
        <v>1</v>
      </c>
      <c r="H5" s="641">
        <v>1</v>
      </c>
      <c r="I5" s="641">
        <v>1</v>
      </c>
      <c r="J5" s="641">
        <v>1</v>
      </c>
      <c r="K5" s="641">
        <v>1</v>
      </c>
      <c r="L5" s="641">
        <v>1</v>
      </c>
      <c r="M5" s="641">
        <v>1</v>
      </c>
      <c r="N5" s="641">
        <v>1</v>
      </c>
      <c r="O5" s="641">
        <v>1</v>
      </c>
      <c r="P5" s="641"/>
      <c r="Q5" s="641">
        <v>1</v>
      </c>
      <c r="R5" s="641"/>
      <c r="S5" s="641"/>
      <c r="T5" s="641"/>
      <c r="U5" s="641">
        <v>1</v>
      </c>
      <c r="V5" s="641" t="s">
        <v>480</v>
      </c>
    </row>
    <row r="6" spans="1:22" x14ac:dyDescent="0.2">
      <c r="A6" s="8">
        <v>10250</v>
      </c>
      <c r="B6" s="8" t="s">
        <v>73</v>
      </c>
      <c r="C6" s="8" t="s">
        <v>19</v>
      </c>
      <c r="D6" s="29" t="s">
        <v>3</v>
      </c>
      <c r="E6" s="641">
        <v>1</v>
      </c>
      <c r="F6" s="641">
        <v>1</v>
      </c>
      <c r="G6" s="641">
        <v>1</v>
      </c>
      <c r="H6" s="641">
        <v>1</v>
      </c>
      <c r="I6" s="641">
        <v>1</v>
      </c>
      <c r="J6" s="641">
        <v>1</v>
      </c>
      <c r="K6" s="641">
        <v>1</v>
      </c>
      <c r="L6" s="641">
        <v>1</v>
      </c>
      <c r="M6" s="641">
        <v>1</v>
      </c>
      <c r="N6" s="641"/>
      <c r="O6" s="641">
        <v>1</v>
      </c>
      <c r="P6" s="641">
        <v>1</v>
      </c>
      <c r="Q6" s="641"/>
      <c r="R6" s="641"/>
      <c r="S6" s="641"/>
      <c r="T6" s="641"/>
      <c r="U6" s="641"/>
      <c r="V6" s="641"/>
    </row>
    <row r="7" spans="1:22" x14ac:dyDescent="0.2">
      <c r="A7" s="8">
        <v>10300</v>
      </c>
      <c r="B7" s="8" t="s">
        <v>74</v>
      </c>
      <c r="C7" s="8" t="s">
        <v>66</v>
      </c>
      <c r="D7" s="29" t="s">
        <v>1</v>
      </c>
      <c r="E7" s="641"/>
      <c r="F7" s="641"/>
      <c r="G7" s="641"/>
      <c r="H7" s="641"/>
      <c r="I7" s="641"/>
      <c r="J7" s="641"/>
      <c r="K7" s="641"/>
      <c r="L7" s="641"/>
      <c r="M7" s="641"/>
      <c r="N7" s="641"/>
      <c r="O7" s="641"/>
      <c r="P7" s="641"/>
      <c r="Q7" s="641"/>
      <c r="R7" s="641"/>
      <c r="S7" s="641"/>
      <c r="T7" s="641"/>
      <c r="U7" s="641"/>
      <c r="V7" s="641"/>
    </row>
    <row r="8" spans="1:22" x14ac:dyDescent="0.2">
      <c r="A8" s="8">
        <v>10470</v>
      </c>
      <c r="B8" s="8" t="s">
        <v>75</v>
      </c>
      <c r="C8" s="8" t="s">
        <v>38</v>
      </c>
      <c r="D8" s="29" t="s">
        <v>1</v>
      </c>
      <c r="E8" s="641">
        <v>1</v>
      </c>
      <c r="F8" s="641">
        <v>1</v>
      </c>
      <c r="G8" s="641">
        <v>1</v>
      </c>
      <c r="H8" s="641">
        <v>1</v>
      </c>
      <c r="I8" s="641">
        <v>1</v>
      </c>
      <c r="J8" s="641">
        <v>1</v>
      </c>
      <c r="K8" s="641">
        <v>1</v>
      </c>
      <c r="L8" s="641">
        <v>1</v>
      </c>
      <c r="M8" s="641">
        <v>1</v>
      </c>
      <c r="N8" s="641">
        <v>1</v>
      </c>
      <c r="O8" s="641">
        <v>1</v>
      </c>
      <c r="P8" s="641">
        <v>1</v>
      </c>
      <c r="Q8" s="641"/>
      <c r="R8" s="641"/>
      <c r="S8" s="641"/>
      <c r="T8" s="641"/>
      <c r="U8" s="641"/>
      <c r="V8" s="641"/>
    </row>
    <row r="9" spans="1:22" x14ac:dyDescent="0.2">
      <c r="A9" s="8">
        <v>10500</v>
      </c>
      <c r="B9" s="8" t="s">
        <v>405</v>
      </c>
      <c r="C9" s="8" t="s">
        <v>17</v>
      </c>
      <c r="D9" s="29" t="s">
        <v>2</v>
      </c>
      <c r="E9" s="641">
        <v>1</v>
      </c>
      <c r="F9" s="641">
        <v>1</v>
      </c>
      <c r="G9" s="641">
        <v>1</v>
      </c>
      <c r="H9" s="641">
        <v>1</v>
      </c>
      <c r="I9" s="641">
        <v>1</v>
      </c>
      <c r="J9" s="641">
        <v>1</v>
      </c>
      <c r="K9" s="641">
        <v>1</v>
      </c>
      <c r="L9" s="641">
        <v>1</v>
      </c>
      <c r="M9" s="641">
        <v>1</v>
      </c>
      <c r="N9" s="641">
        <v>1</v>
      </c>
      <c r="O9" s="641">
        <v>1</v>
      </c>
      <c r="P9" s="641"/>
      <c r="Q9" s="641"/>
      <c r="R9" s="641"/>
      <c r="S9" s="641"/>
      <c r="T9" s="641"/>
      <c r="U9" s="641">
        <v>1</v>
      </c>
      <c r="V9" s="641" t="s">
        <v>481</v>
      </c>
    </row>
    <row r="10" spans="1:22" x14ac:dyDescent="0.2">
      <c r="A10" s="8">
        <v>10550</v>
      </c>
      <c r="B10" s="8" t="s">
        <v>76</v>
      </c>
      <c r="C10" s="8" t="s">
        <v>67</v>
      </c>
      <c r="D10" s="29" t="s">
        <v>1</v>
      </c>
      <c r="E10" s="641">
        <v>1</v>
      </c>
      <c r="F10" s="641">
        <v>1</v>
      </c>
      <c r="G10" s="641">
        <v>1</v>
      </c>
      <c r="H10" s="641">
        <v>1</v>
      </c>
      <c r="I10" s="641">
        <v>1</v>
      </c>
      <c r="J10" s="641">
        <v>1</v>
      </c>
      <c r="K10" s="641">
        <v>1</v>
      </c>
      <c r="L10" s="641">
        <v>1</v>
      </c>
      <c r="M10" s="641">
        <v>1</v>
      </c>
      <c r="N10" s="641">
        <v>1</v>
      </c>
      <c r="O10" s="641"/>
      <c r="P10" s="641"/>
      <c r="Q10" s="641"/>
      <c r="R10" s="641"/>
      <c r="S10" s="641"/>
      <c r="T10" s="641"/>
      <c r="U10" s="641"/>
      <c r="V10" s="641"/>
    </row>
    <row r="11" spans="1:22" x14ac:dyDescent="0.2">
      <c r="A11" s="8">
        <v>10600</v>
      </c>
      <c r="B11" s="8" t="s">
        <v>44</v>
      </c>
      <c r="C11" s="8" t="s">
        <v>39</v>
      </c>
      <c r="D11" s="29" t="s">
        <v>3</v>
      </c>
      <c r="E11" s="641">
        <v>1</v>
      </c>
      <c r="F11" s="641">
        <v>1</v>
      </c>
      <c r="G11" s="641">
        <v>1</v>
      </c>
      <c r="H11" s="641">
        <v>1</v>
      </c>
      <c r="I11" s="641">
        <v>1</v>
      </c>
      <c r="J11" s="641">
        <v>1</v>
      </c>
      <c r="K11" s="641">
        <v>1</v>
      </c>
      <c r="L11" s="641">
        <v>1</v>
      </c>
      <c r="M11" s="641">
        <v>1</v>
      </c>
      <c r="N11" s="641">
        <v>1</v>
      </c>
      <c r="O11" s="641">
        <v>1</v>
      </c>
      <c r="P11" s="641"/>
      <c r="Q11" s="641"/>
      <c r="R11" s="641"/>
      <c r="S11" s="641"/>
      <c r="T11" s="641"/>
      <c r="U11" s="641"/>
      <c r="V11" s="641"/>
    </row>
    <row r="12" spans="1:22" x14ac:dyDescent="0.2">
      <c r="A12" s="8">
        <v>10650</v>
      </c>
      <c r="B12" s="8" t="s">
        <v>77</v>
      </c>
      <c r="C12" s="8" t="s">
        <v>66</v>
      </c>
      <c r="D12" s="29" t="s">
        <v>1</v>
      </c>
      <c r="E12" s="641">
        <v>1</v>
      </c>
      <c r="F12" s="641">
        <v>1</v>
      </c>
      <c r="G12" s="641">
        <v>1</v>
      </c>
      <c r="H12" s="641">
        <v>1</v>
      </c>
      <c r="I12" s="641">
        <v>1</v>
      </c>
      <c r="J12" s="641">
        <v>1</v>
      </c>
      <c r="K12" s="641">
        <v>1</v>
      </c>
      <c r="L12" s="641"/>
      <c r="M12" s="641"/>
      <c r="N12" s="641"/>
      <c r="O12" s="641"/>
      <c r="P12" s="641">
        <v>1</v>
      </c>
      <c r="Q12" s="641"/>
      <c r="R12" s="641"/>
      <c r="S12" s="641"/>
      <c r="T12" s="641"/>
      <c r="U12" s="641"/>
      <c r="V12" s="641"/>
    </row>
    <row r="13" spans="1:22" x14ac:dyDescent="0.2">
      <c r="A13" s="8">
        <v>10750</v>
      </c>
      <c r="B13" s="8" t="s">
        <v>45</v>
      </c>
      <c r="C13" s="8" t="s">
        <v>18</v>
      </c>
      <c r="D13" s="29" t="s">
        <v>2</v>
      </c>
      <c r="E13" s="641">
        <v>1</v>
      </c>
      <c r="F13" s="641">
        <v>1</v>
      </c>
      <c r="G13" s="641">
        <v>1</v>
      </c>
      <c r="H13" s="641">
        <v>1</v>
      </c>
      <c r="I13" s="641">
        <v>1</v>
      </c>
      <c r="J13" s="641">
        <v>1</v>
      </c>
      <c r="K13" s="641">
        <v>1</v>
      </c>
      <c r="L13" s="641">
        <v>1</v>
      </c>
      <c r="M13" s="641">
        <v>1</v>
      </c>
      <c r="N13" s="641">
        <v>1</v>
      </c>
      <c r="O13" s="641">
        <v>1</v>
      </c>
      <c r="P13" s="641"/>
      <c r="Q13" s="641"/>
      <c r="R13" s="641"/>
      <c r="S13" s="641"/>
      <c r="T13" s="641"/>
      <c r="U13" s="641"/>
      <c r="V13" s="641"/>
    </row>
    <row r="14" spans="1:22" x14ac:dyDescent="0.2">
      <c r="A14" s="8">
        <v>10800</v>
      </c>
      <c r="B14" s="8" t="s">
        <v>78</v>
      </c>
      <c r="C14" s="8" t="s">
        <v>21</v>
      </c>
      <c r="D14" s="29" t="s">
        <v>1</v>
      </c>
      <c r="E14" s="641"/>
      <c r="F14" s="641"/>
      <c r="G14" s="641"/>
      <c r="H14" s="641"/>
      <c r="I14" s="641"/>
      <c r="J14" s="641"/>
      <c r="K14" s="641"/>
      <c r="L14" s="641"/>
      <c r="M14" s="641"/>
      <c r="N14" s="641"/>
      <c r="O14" s="641"/>
      <c r="P14" s="641"/>
      <c r="Q14" s="641"/>
      <c r="R14" s="641"/>
      <c r="S14" s="641"/>
      <c r="T14" s="641"/>
      <c r="U14" s="641"/>
      <c r="V14" s="641"/>
    </row>
    <row r="15" spans="1:22" x14ac:dyDescent="0.2">
      <c r="A15" s="8">
        <v>10850</v>
      </c>
      <c r="B15" s="8" t="s">
        <v>79</v>
      </c>
      <c r="C15" s="8" t="s">
        <v>38</v>
      </c>
      <c r="D15" s="29" t="s">
        <v>1</v>
      </c>
      <c r="E15" s="641">
        <v>1</v>
      </c>
      <c r="F15" s="641">
        <v>1</v>
      </c>
      <c r="G15" s="641"/>
      <c r="H15" s="641">
        <v>1</v>
      </c>
      <c r="I15" s="641">
        <v>1</v>
      </c>
      <c r="J15" s="641">
        <v>1</v>
      </c>
      <c r="K15" s="641">
        <v>1</v>
      </c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</row>
    <row r="16" spans="1:22" x14ac:dyDescent="0.2">
      <c r="A16" s="8">
        <v>10900</v>
      </c>
      <c r="B16" s="8" t="s">
        <v>80</v>
      </c>
      <c r="C16" s="8" t="s">
        <v>18</v>
      </c>
      <c r="D16" s="29" t="s">
        <v>3</v>
      </c>
      <c r="E16" s="641">
        <v>1</v>
      </c>
      <c r="F16" s="641">
        <v>1</v>
      </c>
      <c r="G16" s="641">
        <v>1</v>
      </c>
      <c r="H16" s="641">
        <v>1</v>
      </c>
      <c r="I16" s="641">
        <v>1</v>
      </c>
      <c r="J16" s="641">
        <v>1</v>
      </c>
      <c r="K16" s="641">
        <v>1</v>
      </c>
      <c r="L16" s="641">
        <v>1</v>
      </c>
      <c r="M16" s="641">
        <v>1</v>
      </c>
      <c r="N16" s="641"/>
      <c r="O16" s="641"/>
      <c r="P16" s="641"/>
      <c r="Q16" s="641"/>
      <c r="R16" s="641"/>
      <c r="S16" s="641"/>
      <c r="T16" s="641"/>
      <c r="U16" s="641"/>
      <c r="V16" s="641"/>
    </row>
    <row r="17" spans="1:22" x14ac:dyDescent="0.2">
      <c r="A17" s="8">
        <v>10950</v>
      </c>
      <c r="B17" s="8" t="s">
        <v>81</v>
      </c>
      <c r="C17" s="8" t="s">
        <v>38</v>
      </c>
      <c r="D17" s="29" t="s">
        <v>1</v>
      </c>
      <c r="E17" s="641">
        <v>1</v>
      </c>
      <c r="F17" s="641">
        <v>1</v>
      </c>
      <c r="G17" s="641"/>
      <c r="H17" s="641">
        <v>1</v>
      </c>
      <c r="I17" s="641">
        <v>1</v>
      </c>
      <c r="J17" s="641">
        <v>1</v>
      </c>
      <c r="K17" s="641">
        <v>1</v>
      </c>
      <c r="L17" s="641"/>
      <c r="M17" s="641"/>
      <c r="N17" s="641"/>
      <c r="O17" s="641"/>
      <c r="P17" s="641"/>
      <c r="Q17" s="641"/>
      <c r="R17" s="641"/>
      <c r="S17" s="641"/>
      <c r="T17" s="641"/>
      <c r="U17" s="641"/>
      <c r="V17" s="641"/>
    </row>
    <row r="18" spans="1:22" x14ac:dyDescent="0.2">
      <c r="A18" s="8">
        <v>11150</v>
      </c>
      <c r="B18" s="8" t="s">
        <v>82</v>
      </c>
      <c r="C18" s="8" t="s">
        <v>38</v>
      </c>
      <c r="D18" s="29" t="s">
        <v>1</v>
      </c>
      <c r="E18" s="641"/>
      <c r="F18" s="641"/>
      <c r="G18" s="641"/>
      <c r="H18" s="641"/>
      <c r="I18" s="641"/>
      <c r="J18" s="641"/>
      <c r="K18" s="641"/>
      <c r="L18" s="641"/>
      <c r="M18" s="641"/>
      <c r="N18" s="641"/>
      <c r="O18" s="641"/>
      <c r="P18" s="641"/>
      <c r="Q18" s="641"/>
      <c r="R18" s="641"/>
      <c r="S18" s="641"/>
      <c r="T18" s="641"/>
      <c r="U18" s="641"/>
      <c r="V18" s="641"/>
    </row>
    <row r="19" spans="1:22" x14ac:dyDescent="0.2">
      <c r="A19" s="8">
        <v>11200</v>
      </c>
      <c r="B19" s="8" t="s">
        <v>83</v>
      </c>
      <c r="C19" s="8" t="s">
        <v>38</v>
      </c>
      <c r="D19" s="29" t="s">
        <v>1</v>
      </c>
      <c r="E19" s="641"/>
      <c r="F19" s="641"/>
      <c r="G19" s="641"/>
      <c r="H19" s="641"/>
      <c r="I19" s="641"/>
      <c r="J19" s="641"/>
      <c r="K19" s="641"/>
      <c r="L19" s="641"/>
      <c r="M19" s="641"/>
      <c r="N19" s="641"/>
      <c r="O19" s="641"/>
      <c r="P19" s="641"/>
      <c r="Q19" s="641"/>
      <c r="R19" s="641"/>
      <c r="S19" s="641"/>
      <c r="T19" s="641"/>
      <c r="U19" s="641"/>
      <c r="V19" s="641"/>
    </row>
    <row r="20" spans="1:22" x14ac:dyDescent="0.2">
      <c r="A20" s="8">
        <v>11250</v>
      </c>
      <c r="B20" s="8" t="s">
        <v>84</v>
      </c>
      <c r="C20" s="8" t="s">
        <v>38</v>
      </c>
      <c r="D20" s="29" t="s">
        <v>1</v>
      </c>
      <c r="E20" s="641"/>
      <c r="F20" s="641"/>
      <c r="G20" s="641"/>
      <c r="H20" s="641"/>
      <c r="I20" s="641"/>
      <c r="J20" s="641"/>
      <c r="K20" s="641"/>
      <c r="L20" s="641"/>
      <c r="M20" s="641"/>
      <c r="N20" s="641"/>
      <c r="O20" s="641"/>
      <c r="P20" s="641"/>
      <c r="Q20" s="641"/>
      <c r="R20" s="641"/>
      <c r="S20" s="641"/>
      <c r="T20" s="641"/>
      <c r="U20" s="641"/>
      <c r="V20" s="641"/>
    </row>
    <row r="21" spans="1:22" x14ac:dyDescent="0.2">
      <c r="A21" s="8">
        <v>11300</v>
      </c>
      <c r="B21" s="8" t="s">
        <v>85</v>
      </c>
      <c r="C21" s="8" t="s">
        <v>17</v>
      </c>
      <c r="D21" s="29" t="s">
        <v>2</v>
      </c>
      <c r="E21" s="641">
        <v>1</v>
      </c>
      <c r="F21" s="641">
        <v>1</v>
      </c>
      <c r="G21" s="641">
        <v>1</v>
      </c>
      <c r="H21" s="641">
        <v>1</v>
      </c>
      <c r="I21" s="641">
        <v>1</v>
      </c>
      <c r="J21" s="641">
        <v>1</v>
      </c>
      <c r="K21" s="641">
        <v>1</v>
      </c>
      <c r="L21" s="641">
        <v>1</v>
      </c>
      <c r="M21" s="641">
        <v>1</v>
      </c>
      <c r="N21" s="641">
        <v>1</v>
      </c>
      <c r="O21" s="641">
        <v>1</v>
      </c>
      <c r="P21" s="641"/>
      <c r="Q21" s="641"/>
      <c r="R21" s="641"/>
      <c r="S21" s="641"/>
      <c r="T21" s="641"/>
      <c r="U21" s="641"/>
      <c r="V21" s="641"/>
    </row>
    <row r="22" spans="1:22" x14ac:dyDescent="0.2">
      <c r="A22" s="8">
        <v>11350</v>
      </c>
      <c r="B22" s="8" t="s">
        <v>86</v>
      </c>
      <c r="C22" s="8" t="s">
        <v>19</v>
      </c>
      <c r="D22" s="29" t="s">
        <v>3</v>
      </c>
      <c r="E22" s="641">
        <v>1</v>
      </c>
      <c r="F22" s="641">
        <v>1</v>
      </c>
      <c r="G22" s="641"/>
      <c r="H22" s="641">
        <v>1</v>
      </c>
      <c r="I22" s="641">
        <v>1</v>
      </c>
      <c r="J22" s="641">
        <v>1</v>
      </c>
      <c r="K22" s="641">
        <v>1</v>
      </c>
      <c r="L22" s="641"/>
      <c r="M22" s="641"/>
      <c r="N22" s="641"/>
      <c r="O22" s="641"/>
      <c r="P22" s="641"/>
      <c r="Q22" s="641"/>
      <c r="R22" s="641"/>
      <c r="S22" s="641"/>
      <c r="T22" s="641"/>
      <c r="U22" s="641"/>
      <c r="V22" s="641"/>
    </row>
    <row r="23" spans="1:22" x14ac:dyDescent="0.2">
      <c r="A23" s="8">
        <v>11400</v>
      </c>
      <c r="B23" s="8" t="s">
        <v>87</v>
      </c>
      <c r="C23" s="8" t="s">
        <v>38</v>
      </c>
      <c r="D23" s="29" t="s">
        <v>1</v>
      </c>
      <c r="E23" s="641">
        <v>1</v>
      </c>
      <c r="F23" s="641">
        <v>1</v>
      </c>
      <c r="G23" s="641">
        <v>1</v>
      </c>
      <c r="H23" s="641">
        <v>1</v>
      </c>
      <c r="I23" s="641">
        <v>1</v>
      </c>
      <c r="J23" s="641">
        <v>1</v>
      </c>
      <c r="K23" s="641">
        <v>1</v>
      </c>
      <c r="L23" s="641">
        <v>1</v>
      </c>
      <c r="M23" s="641">
        <v>1</v>
      </c>
      <c r="N23" s="641">
        <v>1</v>
      </c>
      <c r="O23" s="641">
        <v>1</v>
      </c>
      <c r="P23" s="641">
        <v>1</v>
      </c>
      <c r="Q23" s="641"/>
      <c r="R23" s="641"/>
      <c r="S23" s="641"/>
      <c r="T23" s="641"/>
      <c r="U23" s="641"/>
      <c r="V23" s="641"/>
    </row>
    <row r="24" spans="1:22" x14ac:dyDescent="0.2">
      <c r="A24" s="8">
        <v>11450</v>
      </c>
      <c r="B24" s="8" t="s">
        <v>69</v>
      </c>
      <c r="C24" s="8" t="s">
        <v>182</v>
      </c>
      <c r="D24" s="29" t="s">
        <v>2</v>
      </c>
      <c r="E24" s="641">
        <v>1</v>
      </c>
      <c r="F24" s="641">
        <v>1</v>
      </c>
      <c r="G24" s="641">
        <v>1</v>
      </c>
      <c r="H24" s="641">
        <v>1</v>
      </c>
      <c r="I24" s="641">
        <v>1</v>
      </c>
      <c r="J24" s="641">
        <v>1</v>
      </c>
      <c r="K24" s="641">
        <v>1</v>
      </c>
      <c r="L24" s="641">
        <v>1</v>
      </c>
      <c r="M24" s="641">
        <v>1</v>
      </c>
      <c r="N24" s="641">
        <v>1</v>
      </c>
      <c r="O24" s="641">
        <v>1</v>
      </c>
      <c r="P24" s="641"/>
      <c r="Q24" s="641"/>
      <c r="R24" s="641"/>
      <c r="S24" s="641"/>
      <c r="T24" s="641"/>
      <c r="U24" s="641"/>
      <c r="V24" s="641"/>
    </row>
    <row r="25" spans="1:22" x14ac:dyDescent="0.2">
      <c r="A25" s="8">
        <v>11500</v>
      </c>
      <c r="B25" s="8" t="s">
        <v>46</v>
      </c>
      <c r="C25" s="8" t="s">
        <v>182</v>
      </c>
      <c r="D25" s="29" t="s">
        <v>2</v>
      </c>
      <c r="E25" s="641">
        <v>1</v>
      </c>
      <c r="F25" s="641">
        <v>1</v>
      </c>
      <c r="G25" s="641">
        <v>1</v>
      </c>
      <c r="H25" s="641">
        <v>1</v>
      </c>
      <c r="I25" s="641">
        <v>1</v>
      </c>
      <c r="J25" s="641">
        <v>1</v>
      </c>
      <c r="K25" s="641">
        <v>1</v>
      </c>
      <c r="L25" s="641"/>
      <c r="M25" s="641">
        <v>1</v>
      </c>
      <c r="N25" s="641"/>
      <c r="O25" s="641"/>
      <c r="P25" s="641"/>
      <c r="Q25" s="641"/>
      <c r="R25" s="641"/>
      <c r="S25" s="641"/>
      <c r="T25" s="641"/>
      <c r="U25" s="641"/>
      <c r="V25" s="641"/>
    </row>
    <row r="26" spans="1:22" x14ac:dyDescent="0.2">
      <c r="A26" s="8">
        <v>11520</v>
      </c>
      <c r="B26" s="8" t="s">
        <v>88</v>
      </c>
      <c r="C26" s="8" t="s">
        <v>17</v>
      </c>
      <c r="D26" s="29" t="s">
        <v>2</v>
      </c>
      <c r="E26" s="641">
        <v>1</v>
      </c>
      <c r="F26" s="641">
        <v>1</v>
      </c>
      <c r="G26" s="641">
        <v>1</v>
      </c>
      <c r="H26" s="641">
        <v>1</v>
      </c>
      <c r="I26" s="641">
        <v>1</v>
      </c>
      <c r="J26" s="641">
        <v>1</v>
      </c>
      <c r="K26" s="641">
        <v>1</v>
      </c>
      <c r="L26" s="641">
        <v>1</v>
      </c>
      <c r="M26" s="641">
        <v>1</v>
      </c>
      <c r="N26" s="641">
        <v>1</v>
      </c>
      <c r="O26" s="641">
        <v>1</v>
      </c>
      <c r="P26" s="641"/>
      <c r="Q26" s="641"/>
      <c r="R26" s="641"/>
      <c r="S26" s="641"/>
      <c r="T26" s="641"/>
      <c r="U26" s="641"/>
      <c r="V26" s="641"/>
    </row>
    <row r="27" spans="1:22" x14ac:dyDescent="0.2">
      <c r="A27" s="8">
        <v>11570</v>
      </c>
      <c r="B27" s="8" t="s">
        <v>89</v>
      </c>
      <c r="C27" s="8" t="s">
        <v>17</v>
      </c>
      <c r="D27" s="29" t="s">
        <v>2</v>
      </c>
      <c r="E27" s="641">
        <v>1</v>
      </c>
      <c r="F27" s="641">
        <v>1</v>
      </c>
      <c r="G27" s="641">
        <v>1</v>
      </c>
      <c r="H27" s="641">
        <v>1</v>
      </c>
      <c r="I27" s="641">
        <v>1</v>
      </c>
      <c r="J27" s="641">
        <v>1</v>
      </c>
      <c r="K27" s="641">
        <v>1</v>
      </c>
      <c r="L27" s="641">
        <v>1</v>
      </c>
      <c r="M27" s="641">
        <v>1</v>
      </c>
      <c r="N27" s="641">
        <v>1</v>
      </c>
      <c r="O27" s="641">
        <v>1</v>
      </c>
      <c r="P27" s="641"/>
      <c r="Q27" s="641"/>
      <c r="R27" s="641"/>
      <c r="S27" s="641"/>
      <c r="T27" s="641"/>
      <c r="U27" s="641"/>
      <c r="V27" s="641"/>
    </row>
    <row r="28" spans="1:22" x14ac:dyDescent="0.2">
      <c r="A28" s="8">
        <v>11600</v>
      </c>
      <c r="B28" s="8" t="s">
        <v>90</v>
      </c>
      <c r="C28" s="8" t="s">
        <v>68</v>
      </c>
      <c r="D28" s="29" t="s">
        <v>1</v>
      </c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1"/>
      <c r="P28" s="641"/>
      <c r="Q28" s="641"/>
      <c r="R28" s="641"/>
      <c r="S28" s="641"/>
      <c r="T28" s="641"/>
      <c r="U28" s="641"/>
      <c r="V28" s="641"/>
    </row>
    <row r="29" spans="1:22" x14ac:dyDescent="0.2">
      <c r="A29" s="8">
        <v>11650</v>
      </c>
      <c r="B29" s="8" t="s">
        <v>91</v>
      </c>
      <c r="C29" s="8" t="s">
        <v>23</v>
      </c>
      <c r="D29" s="29" t="s">
        <v>2</v>
      </c>
      <c r="E29" s="641">
        <v>1</v>
      </c>
      <c r="F29" s="641">
        <v>1</v>
      </c>
      <c r="G29" s="641">
        <v>1</v>
      </c>
      <c r="H29" s="641">
        <v>1</v>
      </c>
      <c r="I29" s="641">
        <v>1</v>
      </c>
      <c r="J29" s="641">
        <v>1</v>
      </c>
      <c r="K29" s="641">
        <v>1</v>
      </c>
      <c r="L29" s="641">
        <v>1</v>
      </c>
      <c r="M29" s="641">
        <v>1</v>
      </c>
      <c r="N29" s="641">
        <v>1</v>
      </c>
      <c r="O29" s="641">
        <v>1</v>
      </c>
      <c r="P29" s="641"/>
      <c r="Q29" s="641">
        <v>1</v>
      </c>
      <c r="R29" s="641"/>
      <c r="S29" s="641"/>
      <c r="T29" s="641"/>
      <c r="U29" s="641"/>
      <c r="V29" s="641"/>
    </row>
    <row r="30" spans="1:22" x14ac:dyDescent="0.2">
      <c r="A30" s="8">
        <v>11700</v>
      </c>
      <c r="B30" s="8" t="s">
        <v>92</v>
      </c>
      <c r="C30" s="8" t="s">
        <v>38</v>
      </c>
      <c r="D30" s="29" t="s">
        <v>1</v>
      </c>
      <c r="E30" s="641"/>
      <c r="F30" s="641"/>
      <c r="G30" s="641"/>
      <c r="H30" s="641"/>
      <c r="I30" s="641"/>
      <c r="J30" s="641"/>
      <c r="K30" s="641"/>
      <c r="L30" s="641"/>
      <c r="M30" s="641"/>
      <c r="N30" s="641"/>
      <c r="O30" s="641"/>
      <c r="P30" s="641"/>
      <c r="Q30" s="641"/>
      <c r="R30" s="641"/>
      <c r="S30" s="641"/>
      <c r="T30" s="641"/>
      <c r="U30" s="641"/>
      <c r="V30" s="641"/>
    </row>
    <row r="31" spans="1:22" x14ac:dyDescent="0.2">
      <c r="A31" s="8">
        <v>11720</v>
      </c>
      <c r="B31" s="8" t="s">
        <v>93</v>
      </c>
      <c r="C31" s="8" t="s">
        <v>23</v>
      </c>
      <c r="D31" s="29" t="s">
        <v>2</v>
      </c>
      <c r="E31" s="641">
        <v>1</v>
      </c>
      <c r="F31" s="641">
        <v>1</v>
      </c>
      <c r="G31" s="641"/>
      <c r="H31" s="641">
        <v>1</v>
      </c>
      <c r="I31" s="641">
        <v>1</v>
      </c>
      <c r="J31" s="641">
        <v>1</v>
      </c>
      <c r="K31" s="641">
        <v>1</v>
      </c>
      <c r="L31" s="641">
        <v>1</v>
      </c>
      <c r="M31" s="641">
        <v>1</v>
      </c>
      <c r="N31" s="641">
        <v>1</v>
      </c>
      <c r="O31" s="641">
        <v>1</v>
      </c>
      <c r="P31" s="641">
        <v>1</v>
      </c>
      <c r="Q31" s="641"/>
      <c r="R31" s="641"/>
      <c r="S31" s="641"/>
      <c r="T31" s="641"/>
      <c r="U31" s="641"/>
      <c r="V31" s="641"/>
    </row>
    <row r="32" spans="1:22" x14ac:dyDescent="0.2">
      <c r="A32" s="8">
        <v>11730</v>
      </c>
      <c r="B32" s="8" t="s">
        <v>94</v>
      </c>
      <c r="C32" s="8" t="s">
        <v>19</v>
      </c>
      <c r="D32" s="29" t="s">
        <v>3</v>
      </c>
      <c r="E32" s="641">
        <v>1</v>
      </c>
      <c r="F32" s="641">
        <v>1</v>
      </c>
      <c r="G32" s="641">
        <v>1</v>
      </c>
      <c r="H32" s="641">
        <v>1</v>
      </c>
      <c r="I32" s="641">
        <v>1</v>
      </c>
      <c r="J32" s="641">
        <v>1</v>
      </c>
      <c r="K32" s="641">
        <v>1</v>
      </c>
      <c r="L32" s="641">
        <v>1</v>
      </c>
      <c r="M32" s="641">
        <v>1</v>
      </c>
      <c r="N32" s="641">
        <v>1</v>
      </c>
      <c r="O32" s="641">
        <v>1</v>
      </c>
      <c r="P32" s="641">
        <v>1</v>
      </c>
      <c r="Q32" s="641"/>
      <c r="R32" s="641"/>
      <c r="S32" s="641"/>
      <c r="T32" s="641"/>
      <c r="U32" s="641"/>
      <c r="V32" s="641"/>
    </row>
    <row r="33" spans="1:22" x14ac:dyDescent="0.2">
      <c r="A33" s="8">
        <v>11750</v>
      </c>
      <c r="B33" s="8" t="s">
        <v>95</v>
      </c>
      <c r="C33" s="8" t="s">
        <v>38</v>
      </c>
      <c r="D33" s="29" t="s">
        <v>1</v>
      </c>
      <c r="E33" s="641"/>
      <c r="F33" s="641"/>
      <c r="G33" s="641"/>
      <c r="H33" s="641"/>
      <c r="I33" s="641"/>
      <c r="J33" s="641"/>
      <c r="K33" s="641"/>
      <c r="L33" s="641"/>
      <c r="M33" s="641"/>
      <c r="N33" s="641"/>
      <c r="O33" s="641"/>
      <c r="P33" s="641"/>
      <c r="Q33" s="641"/>
      <c r="R33" s="641"/>
      <c r="S33" s="641"/>
      <c r="T33" s="641"/>
      <c r="U33" s="641"/>
      <c r="V33" s="641"/>
    </row>
    <row r="34" spans="1:22" x14ac:dyDescent="0.2">
      <c r="A34" s="8">
        <v>11800</v>
      </c>
      <c r="B34" s="8" t="s">
        <v>42</v>
      </c>
      <c r="C34" s="8" t="s">
        <v>39</v>
      </c>
      <c r="D34" s="29" t="s">
        <v>3</v>
      </c>
      <c r="E34" s="641">
        <v>1</v>
      </c>
      <c r="F34" s="641">
        <v>1</v>
      </c>
      <c r="G34" s="641">
        <v>1</v>
      </c>
      <c r="H34" s="641">
        <v>1</v>
      </c>
      <c r="I34" s="641">
        <v>1</v>
      </c>
      <c r="J34" s="641">
        <v>1</v>
      </c>
      <c r="K34" s="641">
        <v>1</v>
      </c>
      <c r="L34" s="641">
        <v>1</v>
      </c>
      <c r="M34" s="641">
        <v>1</v>
      </c>
      <c r="N34" s="641">
        <v>1</v>
      </c>
      <c r="O34" s="641">
        <v>1</v>
      </c>
      <c r="P34" s="641"/>
      <c r="Q34" s="641"/>
      <c r="R34" s="641"/>
      <c r="S34" s="641"/>
      <c r="T34" s="641"/>
      <c r="U34" s="641">
        <v>1</v>
      </c>
      <c r="V34" s="641" t="s">
        <v>482</v>
      </c>
    </row>
    <row r="35" spans="1:22" x14ac:dyDescent="0.2">
      <c r="A35" s="8">
        <v>12000</v>
      </c>
      <c r="B35" s="8" t="s">
        <v>96</v>
      </c>
      <c r="C35" s="8" t="s">
        <v>21</v>
      </c>
      <c r="D35" s="29" t="s">
        <v>1</v>
      </c>
      <c r="E35" s="641">
        <v>1</v>
      </c>
      <c r="F35" s="641">
        <v>1</v>
      </c>
      <c r="G35" s="641">
        <v>1</v>
      </c>
      <c r="H35" s="641">
        <v>1</v>
      </c>
      <c r="I35" s="641">
        <v>1</v>
      </c>
      <c r="J35" s="641">
        <v>1</v>
      </c>
      <c r="K35" s="641">
        <v>1</v>
      </c>
      <c r="L35" s="641">
        <v>1</v>
      </c>
      <c r="M35" s="641">
        <v>1</v>
      </c>
      <c r="N35" s="641">
        <v>1</v>
      </c>
      <c r="O35" s="641">
        <v>1</v>
      </c>
      <c r="P35" s="641">
        <v>1</v>
      </c>
      <c r="Q35" s="641">
        <v>1</v>
      </c>
      <c r="R35" s="641"/>
      <c r="S35" s="641"/>
      <c r="T35" s="641"/>
      <c r="U35" s="641"/>
      <c r="V35" s="641"/>
    </row>
    <row r="36" spans="1:22" x14ac:dyDescent="0.2">
      <c r="A36" s="8">
        <v>12150</v>
      </c>
      <c r="B36" s="8" t="s">
        <v>97</v>
      </c>
      <c r="C36" s="8" t="s">
        <v>38</v>
      </c>
      <c r="D36" s="29" t="s">
        <v>1</v>
      </c>
      <c r="E36" s="641"/>
      <c r="F36" s="641"/>
      <c r="G36" s="641"/>
      <c r="H36" s="641"/>
      <c r="I36" s="641"/>
      <c r="J36" s="641"/>
      <c r="K36" s="641"/>
      <c r="L36" s="641"/>
      <c r="M36" s="641"/>
      <c r="N36" s="641"/>
      <c r="O36" s="641"/>
      <c r="P36" s="641"/>
      <c r="Q36" s="641"/>
      <c r="R36" s="641"/>
      <c r="S36" s="641"/>
      <c r="T36" s="641"/>
      <c r="U36" s="641"/>
      <c r="V36" s="641"/>
    </row>
    <row r="37" spans="1:22" x14ac:dyDescent="0.2">
      <c r="A37" s="8">
        <v>12160</v>
      </c>
      <c r="B37" s="8" t="s">
        <v>98</v>
      </c>
      <c r="C37" s="8" t="s">
        <v>21</v>
      </c>
      <c r="D37" s="29" t="s">
        <v>1</v>
      </c>
      <c r="E37" s="641">
        <v>1</v>
      </c>
      <c r="F37" s="641">
        <v>1</v>
      </c>
      <c r="G37" s="641">
        <v>1</v>
      </c>
      <c r="H37" s="641">
        <v>1</v>
      </c>
      <c r="I37" s="641">
        <v>1</v>
      </c>
      <c r="J37" s="641">
        <v>1</v>
      </c>
      <c r="K37" s="641">
        <v>1</v>
      </c>
      <c r="L37" s="641"/>
      <c r="M37" s="641"/>
      <c r="N37" s="641"/>
      <c r="O37" s="641"/>
      <c r="P37" s="641"/>
      <c r="Q37" s="641"/>
      <c r="R37" s="641"/>
      <c r="S37" s="641"/>
      <c r="T37" s="641"/>
      <c r="U37" s="641"/>
      <c r="V37" s="641"/>
    </row>
    <row r="38" spans="1:22" x14ac:dyDescent="0.2">
      <c r="A38" s="8">
        <v>12350</v>
      </c>
      <c r="B38" s="8" t="s">
        <v>99</v>
      </c>
      <c r="C38" s="8" t="s">
        <v>38</v>
      </c>
      <c r="D38" s="29" t="s">
        <v>1</v>
      </c>
      <c r="E38" s="641">
        <v>1</v>
      </c>
      <c r="F38" s="641">
        <v>1</v>
      </c>
      <c r="G38" s="641"/>
      <c r="H38" s="641">
        <v>1</v>
      </c>
      <c r="I38" s="641">
        <v>1</v>
      </c>
      <c r="J38" s="641">
        <v>1</v>
      </c>
      <c r="K38" s="641">
        <v>1</v>
      </c>
      <c r="L38" s="641">
        <v>1</v>
      </c>
      <c r="M38" s="641">
        <v>1</v>
      </c>
      <c r="N38" s="641">
        <v>1</v>
      </c>
      <c r="O38" s="641">
        <v>1</v>
      </c>
      <c r="P38" s="641">
        <v>1</v>
      </c>
      <c r="Q38" s="641"/>
      <c r="R38" s="641"/>
      <c r="S38" s="641"/>
      <c r="T38" s="641"/>
      <c r="U38" s="641"/>
      <c r="V38" s="641"/>
    </row>
    <row r="39" spans="1:22" x14ac:dyDescent="0.2">
      <c r="A39" s="8">
        <v>12380</v>
      </c>
      <c r="B39" s="8" t="s">
        <v>47</v>
      </c>
      <c r="C39" s="8" t="s">
        <v>18</v>
      </c>
      <c r="D39" s="29" t="s">
        <v>2</v>
      </c>
      <c r="E39" s="641">
        <v>1</v>
      </c>
      <c r="F39" s="641">
        <v>1</v>
      </c>
      <c r="G39" s="641">
        <v>1</v>
      </c>
      <c r="H39" s="641">
        <v>1</v>
      </c>
      <c r="I39" s="641">
        <v>1</v>
      </c>
      <c r="J39" s="641">
        <v>1</v>
      </c>
      <c r="K39" s="641">
        <v>1</v>
      </c>
      <c r="L39" s="641">
        <v>1</v>
      </c>
      <c r="M39" s="641">
        <v>1</v>
      </c>
      <c r="N39" s="641">
        <v>1</v>
      </c>
      <c r="O39" s="641">
        <v>1</v>
      </c>
      <c r="P39" s="641"/>
      <c r="Q39" s="641"/>
      <c r="R39" s="641"/>
      <c r="S39" s="641"/>
      <c r="T39" s="641"/>
      <c r="U39" s="641"/>
      <c r="V39" s="641"/>
    </row>
    <row r="40" spans="1:22" x14ac:dyDescent="0.2">
      <c r="A40" s="8">
        <v>12390</v>
      </c>
      <c r="B40" s="8" t="s">
        <v>100</v>
      </c>
      <c r="C40" s="8" t="s">
        <v>38</v>
      </c>
      <c r="D40" s="29" t="s">
        <v>1</v>
      </c>
      <c r="E40" s="641">
        <v>1</v>
      </c>
      <c r="F40" s="641">
        <v>1</v>
      </c>
      <c r="G40" s="641">
        <v>1</v>
      </c>
      <c r="H40" s="641">
        <v>1</v>
      </c>
      <c r="I40" s="641">
        <v>1</v>
      </c>
      <c r="J40" s="641">
        <v>1</v>
      </c>
      <c r="K40" s="641">
        <v>1</v>
      </c>
      <c r="L40" s="641"/>
      <c r="M40" s="641"/>
      <c r="N40" s="641"/>
      <c r="O40" s="641">
        <v>1</v>
      </c>
      <c r="P40" s="641"/>
      <c r="Q40" s="641"/>
      <c r="R40" s="641">
        <v>1</v>
      </c>
      <c r="S40" s="641">
        <v>1</v>
      </c>
      <c r="T40" s="641"/>
      <c r="U40" s="641"/>
      <c r="V40" s="641"/>
    </row>
    <row r="41" spans="1:22" x14ac:dyDescent="0.2">
      <c r="A41" s="8">
        <v>12700</v>
      </c>
      <c r="B41" s="8" t="s">
        <v>101</v>
      </c>
      <c r="C41" s="8" t="s">
        <v>23</v>
      </c>
      <c r="D41" s="29" t="s">
        <v>3</v>
      </c>
      <c r="E41" s="641">
        <v>1</v>
      </c>
      <c r="F41" s="641">
        <v>1</v>
      </c>
      <c r="G41" s="641">
        <v>1</v>
      </c>
      <c r="H41" s="641">
        <v>1</v>
      </c>
      <c r="I41" s="641">
        <v>1</v>
      </c>
      <c r="J41" s="641">
        <v>1</v>
      </c>
      <c r="K41" s="641"/>
      <c r="L41" s="641"/>
      <c r="M41" s="641"/>
      <c r="N41" s="641"/>
      <c r="O41" s="641"/>
      <c r="P41" s="641"/>
      <c r="Q41" s="641"/>
      <c r="R41" s="641"/>
      <c r="S41" s="641"/>
      <c r="T41" s="641"/>
      <c r="U41" s="641"/>
      <c r="V41" s="641"/>
    </row>
    <row r="42" spans="1:22" x14ac:dyDescent="0.2">
      <c r="A42" s="8">
        <v>12730</v>
      </c>
      <c r="B42" s="8" t="s">
        <v>102</v>
      </c>
      <c r="C42" s="8" t="s">
        <v>66</v>
      </c>
      <c r="D42" s="29" t="s">
        <v>1</v>
      </c>
      <c r="E42" s="641"/>
      <c r="F42" s="641"/>
      <c r="G42" s="641"/>
      <c r="H42" s="641"/>
      <c r="I42" s="641"/>
      <c r="J42" s="641"/>
      <c r="K42" s="641"/>
      <c r="L42" s="641"/>
      <c r="M42" s="641"/>
      <c r="N42" s="641"/>
      <c r="O42" s="641"/>
      <c r="P42" s="641"/>
      <c r="Q42" s="641"/>
      <c r="R42" s="641"/>
      <c r="S42" s="641"/>
      <c r="T42" s="641"/>
      <c r="U42" s="641"/>
      <c r="V42" s="641"/>
    </row>
    <row r="43" spans="1:22" x14ac:dyDescent="0.2">
      <c r="A43" s="8">
        <v>12750</v>
      </c>
      <c r="B43" s="8" t="s">
        <v>103</v>
      </c>
      <c r="C43" s="8" t="s">
        <v>67</v>
      </c>
      <c r="D43" s="29" t="s">
        <v>1</v>
      </c>
      <c r="E43" s="641">
        <v>1</v>
      </c>
      <c r="F43" s="641">
        <v>1</v>
      </c>
      <c r="G43" s="641">
        <v>1</v>
      </c>
      <c r="H43" s="641">
        <v>1</v>
      </c>
      <c r="I43" s="641">
        <v>1</v>
      </c>
      <c r="J43" s="641">
        <v>1</v>
      </c>
      <c r="K43" s="641">
        <v>1</v>
      </c>
      <c r="L43" s="641"/>
      <c r="M43" s="641"/>
      <c r="N43" s="641"/>
      <c r="O43" s="641"/>
      <c r="P43" s="641"/>
      <c r="Q43" s="641"/>
      <c r="R43" s="641"/>
      <c r="S43" s="641"/>
      <c r="T43" s="641"/>
      <c r="U43" s="641"/>
      <c r="V43" s="641"/>
    </row>
    <row r="44" spans="1:22" x14ac:dyDescent="0.2">
      <c r="A44" s="8">
        <v>12850</v>
      </c>
      <c r="B44" s="8" t="s">
        <v>104</v>
      </c>
      <c r="C44" s="8" t="s">
        <v>18</v>
      </c>
      <c r="D44" s="29" t="s">
        <v>2</v>
      </c>
      <c r="E44" s="641">
        <v>1</v>
      </c>
      <c r="F44" s="641">
        <v>1</v>
      </c>
      <c r="G44" s="641">
        <v>1</v>
      </c>
      <c r="H44" s="641">
        <v>1</v>
      </c>
      <c r="I44" s="641">
        <v>1</v>
      </c>
      <c r="J44" s="641">
        <v>1</v>
      </c>
      <c r="K44" s="641">
        <v>1</v>
      </c>
      <c r="L44" s="641">
        <v>1</v>
      </c>
      <c r="M44" s="641">
        <v>1</v>
      </c>
      <c r="N44" s="641">
        <v>1</v>
      </c>
      <c r="O44" s="641">
        <v>1</v>
      </c>
      <c r="P44" s="641">
        <v>1</v>
      </c>
      <c r="Q44" s="641"/>
      <c r="R44" s="641"/>
      <c r="S44" s="641"/>
      <c r="T44" s="641"/>
      <c r="U44" s="641"/>
      <c r="V44" s="641"/>
    </row>
    <row r="45" spans="1:22" x14ac:dyDescent="0.2">
      <c r="A45" s="8">
        <v>12870</v>
      </c>
      <c r="B45" s="8" t="s">
        <v>105</v>
      </c>
      <c r="C45" s="8" t="s">
        <v>66</v>
      </c>
      <c r="D45" s="29" t="s">
        <v>1</v>
      </c>
      <c r="E45" s="641">
        <v>1</v>
      </c>
      <c r="F45" s="641">
        <v>1</v>
      </c>
      <c r="G45" s="641">
        <v>1</v>
      </c>
      <c r="H45" s="641">
        <v>1</v>
      </c>
      <c r="I45" s="641">
        <v>1</v>
      </c>
      <c r="J45" s="641">
        <v>1</v>
      </c>
      <c r="K45" s="641">
        <v>1</v>
      </c>
      <c r="L45" s="641">
        <v>1</v>
      </c>
      <c r="M45" s="641">
        <v>1</v>
      </c>
      <c r="N45" s="641">
        <v>1</v>
      </c>
      <c r="O45" s="641">
        <v>1</v>
      </c>
      <c r="P45" s="641"/>
      <c r="Q45" s="641"/>
      <c r="R45" s="641"/>
      <c r="S45" s="641"/>
      <c r="T45" s="641"/>
      <c r="U45" s="641"/>
      <c r="V45" s="641"/>
    </row>
    <row r="46" spans="1:22" x14ac:dyDescent="0.2">
      <c r="A46" s="8">
        <v>12900</v>
      </c>
      <c r="B46" s="8" t="s">
        <v>106</v>
      </c>
      <c r="C46" s="8" t="s">
        <v>38</v>
      </c>
      <c r="D46" s="29" t="s">
        <v>1</v>
      </c>
      <c r="E46" s="641">
        <v>1</v>
      </c>
      <c r="F46" s="641">
        <v>1</v>
      </c>
      <c r="G46" s="641"/>
      <c r="H46" s="641">
        <v>1</v>
      </c>
      <c r="I46" s="641">
        <v>1</v>
      </c>
      <c r="J46" s="641">
        <v>1</v>
      </c>
      <c r="K46" s="641">
        <v>1</v>
      </c>
      <c r="L46" s="641">
        <v>1</v>
      </c>
      <c r="M46" s="641">
        <v>1</v>
      </c>
      <c r="N46" s="641"/>
      <c r="O46" s="641">
        <v>1</v>
      </c>
      <c r="P46" s="641"/>
      <c r="Q46" s="641"/>
      <c r="R46" s="641"/>
      <c r="S46" s="641"/>
      <c r="T46" s="641"/>
      <c r="U46" s="641"/>
      <c r="V46" s="641"/>
    </row>
    <row r="47" spans="1:22" x14ac:dyDescent="0.2">
      <c r="A47" s="8">
        <v>12930</v>
      </c>
      <c r="B47" s="8" t="s">
        <v>48</v>
      </c>
      <c r="C47" s="8" t="s">
        <v>17</v>
      </c>
      <c r="D47" s="29" t="s">
        <v>2</v>
      </c>
      <c r="E47" s="641">
        <v>1</v>
      </c>
      <c r="F47" s="641">
        <v>1</v>
      </c>
      <c r="G47" s="641">
        <v>1</v>
      </c>
      <c r="H47" s="641">
        <v>1</v>
      </c>
      <c r="I47" s="641">
        <v>1</v>
      </c>
      <c r="J47" s="641">
        <v>1</v>
      </c>
      <c r="K47" s="641"/>
      <c r="L47" s="641"/>
      <c r="M47" s="641"/>
      <c r="N47" s="641"/>
      <c r="O47" s="641"/>
      <c r="P47" s="641">
        <v>1</v>
      </c>
      <c r="Q47" s="641"/>
      <c r="R47" s="641"/>
      <c r="S47" s="641"/>
      <c r="T47" s="641"/>
      <c r="U47" s="641"/>
      <c r="V47" s="641"/>
    </row>
    <row r="48" spans="1:22" x14ac:dyDescent="0.2">
      <c r="A48" s="8">
        <v>12950</v>
      </c>
      <c r="B48" s="8" t="s">
        <v>107</v>
      </c>
      <c r="C48" s="8" t="s">
        <v>38</v>
      </c>
      <c r="D48" s="29" t="s">
        <v>1</v>
      </c>
      <c r="E48" s="641">
        <v>1</v>
      </c>
      <c r="F48" s="641">
        <v>1</v>
      </c>
      <c r="G48" s="641"/>
      <c r="H48" s="641">
        <v>1</v>
      </c>
      <c r="I48" s="641">
        <v>1</v>
      </c>
      <c r="J48" s="641">
        <v>1</v>
      </c>
      <c r="K48" s="641">
        <v>1</v>
      </c>
      <c r="L48" s="641">
        <v>1</v>
      </c>
      <c r="M48" s="641">
        <v>1</v>
      </c>
      <c r="N48" s="641">
        <v>1</v>
      </c>
      <c r="O48" s="641">
        <v>1</v>
      </c>
      <c r="P48" s="641">
        <v>1</v>
      </c>
      <c r="Q48" s="641"/>
      <c r="R48" s="641"/>
      <c r="S48" s="641"/>
      <c r="T48" s="641"/>
      <c r="U48" s="641"/>
      <c r="V48" s="641"/>
    </row>
    <row r="49" spans="1:22" x14ac:dyDescent="0.2">
      <c r="A49" s="8">
        <v>13010</v>
      </c>
      <c r="B49" s="8" t="s">
        <v>108</v>
      </c>
      <c r="C49" s="8" t="s">
        <v>16</v>
      </c>
      <c r="D49" s="29" t="s">
        <v>1</v>
      </c>
      <c r="E49" s="641">
        <v>1</v>
      </c>
      <c r="F49" s="641">
        <v>1</v>
      </c>
      <c r="G49" s="641">
        <v>1</v>
      </c>
      <c r="H49" s="641">
        <v>1</v>
      </c>
      <c r="I49" s="641">
        <v>1</v>
      </c>
      <c r="J49" s="641">
        <v>1</v>
      </c>
      <c r="K49" s="641">
        <v>1</v>
      </c>
      <c r="L49" s="641">
        <v>1</v>
      </c>
      <c r="M49" s="641">
        <v>1</v>
      </c>
      <c r="N49" s="641"/>
      <c r="O49" s="641"/>
      <c r="P49" s="641"/>
      <c r="Q49" s="641"/>
      <c r="R49" s="641"/>
      <c r="S49" s="641"/>
      <c r="T49" s="641"/>
      <c r="U49" s="641"/>
      <c r="V49" s="641"/>
    </row>
    <row r="50" spans="1:22" x14ac:dyDescent="0.2">
      <c r="A50" s="8">
        <v>13310</v>
      </c>
      <c r="B50" s="8" t="s">
        <v>109</v>
      </c>
      <c r="C50" s="8" t="s">
        <v>67</v>
      </c>
      <c r="D50" s="29" t="s">
        <v>1</v>
      </c>
      <c r="E50" s="641">
        <v>1</v>
      </c>
      <c r="F50" s="641">
        <v>1</v>
      </c>
      <c r="G50" s="641">
        <v>1</v>
      </c>
      <c r="H50" s="641">
        <v>1</v>
      </c>
      <c r="I50" s="641">
        <v>1</v>
      </c>
      <c r="J50" s="641">
        <v>1</v>
      </c>
      <c r="K50" s="641">
        <v>1</v>
      </c>
      <c r="L50" s="641">
        <v>1</v>
      </c>
      <c r="M50" s="641">
        <v>1</v>
      </c>
      <c r="N50" s="641"/>
      <c r="O50" s="641"/>
      <c r="P50" s="641"/>
      <c r="Q50" s="641"/>
      <c r="R50" s="641"/>
      <c r="S50" s="641"/>
      <c r="T50" s="641"/>
      <c r="U50" s="641"/>
      <c r="V50" s="641"/>
    </row>
    <row r="51" spans="1:22" x14ac:dyDescent="0.2">
      <c r="A51" s="8">
        <v>13340</v>
      </c>
      <c r="B51" s="8" t="s">
        <v>110</v>
      </c>
      <c r="C51" s="8" t="s">
        <v>21</v>
      </c>
      <c r="D51" s="29" t="s">
        <v>1</v>
      </c>
      <c r="E51" s="641">
        <v>1</v>
      </c>
      <c r="F51" s="641">
        <v>1</v>
      </c>
      <c r="G51" s="641">
        <v>1</v>
      </c>
      <c r="H51" s="641">
        <v>1</v>
      </c>
      <c r="I51" s="641">
        <v>1</v>
      </c>
      <c r="J51" s="641">
        <v>1</v>
      </c>
      <c r="K51" s="641">
        <v>1</v>
      </c>
      <c r="L51" s="641">
        <v>1</v>
      </c>
      <c r="M51" s="641">
        <v>1</v>
      </c>
      <c r="N51" s="641">
        <v>1</v>
      </c>
      <c r="O51" s="641"/>
      <c r="P51" s="641">
        <v>1</v>
      </c>
      <c r="Q51" s="641"/>
      <c r="R51" s="641"/>
      <c r="S51" s="641"/>
      <c r="T51" s="641"/>
      <c r="U51" s="641"/>
      <c r="V51" s="641"/>
    </row>
    <row r="52" spans="1:22" x14ac:dyDescent="0.2">
      <c r="A52" s="8">
        <v>13450</v>
      </c>
      <c r="B52" s="8" t="s">
        <v>111</v>
      </c>
      <c r="C52" s="8" t="s">
        <v>68</v>
      </c>
      <c r="D52" s="29" t="s">
        <v>1</v>
      </c>
      <c r="E52" s="641">
        <v>1</v>
      </c>
      <c r="F52" s="641">
        <v>1</v>
      </c>
      <c r="G52" s="641">
        <v>1</v>
      </c>
      <c r="H52" s="641">
        <v>1</v>
      </c>
      <c r="I52" s="641">
        <v>1</v>
      </c>
      <c r="J52" s="641">
        <v>1</v>
      </c>
      <c r="K52" s="641">
        <v>1</v>
      </c>
      <c r="L52" s="641">
        <v>1</v>
      </c>
      <c r="M52" s="641">
        <v>1</v>
      </c>
      <c r="N52" s="641">
        <v>1</v>
      </c>
      <c r="O52" s="641">
        <v>1</v>
      </c>
      <c r="P52" s="641"/>
      <c r="Q52" s="641"/>
      <c r="R52" s="641"/>
      <c r="S52" s="641"/>
      <c r="T52" s="641"/>
      <c r="U52" s="641"/>
      <c r="V52" s="641"/>
    </row>
    <row r="53" spans="1:22" x14ac:dyDescent="0.2">
      <c r="A53" s="8">
        <v>13550</v>
      </c>
      <c r="B53" s="8" t="s">
        <v>70</v>
      </c>
      <c r="C53" s="8" t="s">
        <v>16</v>
      </c>
      <c r="D53" s="29" t="s">
        <v>1</v>
      </c>
      <c r="E53" s="641">
        <v>1</v>
      </c>
      <c r="F53" s="641">
        <v>1</v>
      </c>
      <c r="G53" s="641"/>
      <c r="H53" s="641">
        <v>1</v>
      </c>
      <c r="I53" s="641">
        <v>1</v>
      </c>
      <c r="J53" s="641">
        <v>1</v>
      </c>
      <c r="K53" s="641">
        <v>1</v>
      </c>
      <c r="L53" s="641">
        <v>1</v>
      </c>
      <c r="M53" s="641">
        <v>1</v>
      </c>
      <c r="N53" s="641">
        <v>1</v>
      </c>
      <c r="O53" s="641">
        <v>1</v>
      </c>
      <c r="P53" s="641"/>
      <c r="Q53" s="641"/>
      <c r="R53" s="641"/>
      <c r="S53" s="641"/>
      <c r="T53" s="641"/>
      <c r="U53" s="641"/>
      <c r="V53" s="641"/>
    </row>
    <row r="54" spans="1:22" x14ac:dyDescent="0.2">
      <c r="A54" s="8">
        <v>13660</v>
      </c>
      <c r="B54" s="8" t="s">
        <v>112</v>
      </c>
      <c r="C54" s="8" t="s">
        <v>16</v>
      </c>
      <c r="D54" s="29" t="s">
        <v>1</v>
      </c>
      <c r="E54" s="641">
        <v>1</v>
      </c>
      <c r="F54" s="641">
        <v>1</v>
      </c>
      <c r="G54" s="641">
        <v>1</v>
      </c>
      <c r="H54" s="641">
        <v>1</v>
      </c>
      <c r="I54" s="641">
        <v>1</v>
      </c>
      <c r="J54" s="641">
        <v>1</v>
      </c>
      <c r="K54" s="641">
        <v>1</v>
      </c>
      <c r="L54" s="641">
        <v>1</v>
      </c>
      <c r="M54" s="641">
        <v>1</v>
      </c>
      <c r="N54" s="641"/>
      <c r="O54" s="641"/>
      <c r="P54" s="641"/>
      <c r="Q54" s="641"/>
      <c r="R54" s="641"/>
      <c r="S54" s="641"/>
      <c r="T54" s="641"/>
      <c r="U54" s="641"/>
      <c r="V54" s="641"/>
    </row>
    <row r="55" spans="1:22" x14ac:dyDescent="0.2">
      <c r="A55" s="8">
        <v>13800</v>
      </c>
      <c r="B55" s="8" t="s">
        <v>113</v>
      </c>
      <c r="C55" s="8" t="s">
        <v>18</v>
      </c>
      <c r="D55" s="29" t="s">
        <v>2</v>
      </c>
      <c r="E55" s="641">
        <v>1</v>
      </c>
      <c r="F55" s="641">
        <v>1</v>
      </c>
      <c r="G55" s="641">
        <v>1</v>
      </c>
      <c r="H55" s="641">
        <v>1</v>
      </c>
      <c r="I55" s="641">
        <v>1</v>
      </c>
      <c r="J55" s="641">
        <v>1</v>
      </c>
      <c r="K55" s="641">
        <v>1</v>
      </c>
      <c r="L55" s="641">
        <v>1</v>
      </c>
      <c r="M55" s="641"/>
      <c r="N55" s="641"/>
      <c r="O55" s="641"/>
      <c r="P55" s="641"/>
      <c r="Q55" s="641"/>
      <c r="R55" s="641"/>
      <c r="S55" s="641"/>
      <c r="T55" s="641"/>
      <c r="U55" s="641"/>
      <c r="V55" s="641"/>
    </row>
    <row r="56" spans="1:22" x14ac:dyDescent="0.2">
      <c r="A56" s="8">
        <v>13850</v>
      </c>
      <c r="B56" s="8" t="s">
        <v>114</v>
      </c>
      <c r="C56" s="8" t="s">
        <v>68</v>
      </c>
      <c r="D56" s="29" t="s">
        <v>1</v>
      </c>
      <c r="E56" s="641"/>
      <c r="F56" s="641"/>
      <c r="G56" s="641"/>
      <c r="H56" s="641"/>
      <c r="I56" s="641"/>
      <c r="J56" s="641"/>
      <c r="K56" s="641"/>
      <c r="L56" s="641"/>
      <c r="M56" s="641"/>
      <c r="N56" s="641"/>
      <c r="O56" s="641"/>
      <c r="P56" s="641"/>
      <c r="Q56" s="641"/>
      <c r="R56" s="641"/>
      <c r="S56" s="641"/>
      <c r="T56" s="641"/>
      <c r="U56" s="641"/>
      <c r="V56" s="641"/>
    </row>
    <row r="57" spans="1:22" x14ac:dyDescent="0.2">
      <c r="A57" s="8">
        <v>13910</v>
      </c>
      <c r="B57" s="8" t="s">
        <v>115</v>
      </c>
      <c r="C57" s="8" t="s">
        <v>67</v>
      </c>
      <c r="D57" s="29" t="s">
        <v>1</v>
      </c>
      <c r="E57" s="641">
        <v>1</v>
      </c>
      <c r="F57" s="641">
        <v>1</v>
      </c>
      <c r="G57" s="641">
        <v>1</v>
      </c>
      <c r="H57" s="641">
        <v>1</v>
      </c>
      <c r="I57" s="641">
        <v>1</v>
      </c>
      <c r="J57" s="641">
        <v>1</v>
      </c>
      <c r="K57" s="641">
        <v>1</v>
      </c>
      <c r="L57" s="641"/>
      <c r="M57" s="641"/>
      <c r="N57" s="641"/>
      <c r="O57" s="641">
        <v>1</v>
      </c>
      <c r="P57" s="641"/>
      <c r="Q57" s="641"/>
      <c r="R57" s="641"/>
      <c r="S57" s="641"/>
      <c r="T57" s="641"/>
      <c r="U57" s="641"/>
      <c r="V57" s="641"/>
    </row>
    <row r="58" spans="1:22" x14ac:dyDescent="0.2">
      <c r="A58" s="8">
        <v>14000</v>
      </c>
      <c r="B58" s="8" t="s">
        <v>116</v>
      </c>
      <c r="C58" s="8" t="s">
        <v>24</v>
      </c>
      <c r="D58" s="29" t="s">
        <v>2</v>
      </c>
      <c r="E58" s="641">
        <v>1</v>
      </c>
      <c r="F58" s="641">
        <v>1</v>
      </c>
      <c r="G58" s="641">
        <v>1</v>
      </c>
      <c r="H58" s="641">
        <v>1</v>
      </c>
      <c r="I58" s="641">
        <v>1</v>
      </c>
      <c r="J58" s="641">
        <v>1</v>
      </c>
      <c r="K58" s="641">
        <v>1</v>
      </c>
      <c r="L58" s="641">
        <v>1</v>
      </c>
      <c r="M58" s="641">
        <v>1</v>
      </c>
      <c r="N58" s="641">
        <v>1</v>
      </c>
      <c r="O58" s="641">
        <v>1</v>
      </c>
      <c r="P58" s="641"/>
      <c r="Q58" s="641"/>
      <c r="R58" s="641"/>
      <c r="S58" s="641"/>
      <c r="T58" s="641"/>
      <c r="U58" s="641"/>
      <c r="V58" s="641"/>
    </row>
    <row r="59" spans="1:22" x14ac:dyDescent="0.2">
      <c r="A59" s="8">
        <v>14100</v>
      </c>
      <c r="B59" s="8" t="s">
        <v>49</v>
      </c>
      <c r="C59" s="8" t="s">
        <v>24</v>
      </c>
      <c r="D59" s="29" t="s">
        <v>2</v>
      </c>
      <c r="E59" s="641">
        <v>1</v>
      </c>
      <c r="F59" s="641">
        <v>1</v>
      </c>
      <c r="G59" s="641"/>
      <c r="H59" s="641">
        <v>1</v>
      </c>
      <c r="I59" s="641">
        <v>1</v>
      </c>
      <c r="J59" s="641">
        <v>1</v>
      </c>
      <c r="K59" s="641">
        <v>1</v>
      </c>
      <c r="L59" s="641">
        <v>1</v>
      </c>
      <c r="M59" s="641">
        <v>1</v>
      </c>
      <c r="N59" s="641">
        <v>1</v>
      </c>
      <c r="O59" s="641">
        <v>1</v>
      </c>
      <c r="P59" s="641"/>
      <c r="Q59" s="641"/>
      <c r="R59" s="641"/>
      <c r="S59" s="641"/>
      <c r="T59" s="641"/>
      <c r="U59" s="641"/>
      <c r="V59" s="641"/>
    </row>
    <row r="60" spans="1:22" x14ac:dyDescent="0.2">
      <c r="A60" s="8">
        <v>14170</v>
      </c>
      <c r="B60" s="8" t="s">
        <v>50</v>
      </c>
      <c r="C60" s="8" t="s">
        <v>17</v>
      </c>
      <c r="D60" s="29" t="s">
        <v>2</v>
      </c>
      <c r="E60" s="641">
        <v>1</v>
      </c>
      <c r="F60" s="641">
        <v>1</v>
      </c>
      <c r="G60" s="641">
        <v>1</v>
      </c>
      <c r="H60" s="641">
        <v>1</v>
      </c>
      <c r="I60" s="641">
        <v>1</v>
      </c>
      <c r="J60" s="641">
        <v>1</v>
      </c>
      <c r="K60" s="641">
        <v>1</v>
      </c>
      <c r="L60" s="641">
        <v>1</v>
      </c>
      <c r="M60" s="641">
        <v>1</v>
      </c>
      <c r="N60" s="641">
        <v>1</v>
      </c>
      <c r="O60" s="641">
        <v>1</v>
      </c>
      <c r="P60" s="641"/>
      <c r="Q60" s="641"/>
      <c r="R60" s="641"/>
      <c r="S60" s="641"/>
      <c r="T60" s="641"/>
      <c r="U60" s="641"/>
      <c r="V60" s="641"/>
    </row>
    <row r="61" spans="1:22" x14ac:dyDescent="0.2">
      <c r="A61" s="8">
        <v>14220</v>
      </c>
      <c r="B61" s="8" t="s">
        <v>117</v>
      </c>
      <c r="C61" s="8" t="s">
        <v>16</v>
      </c>
      <c r="D61" s="29" t="s">
        <v>1</v>
      </c>
      <c r="E61" s="641">
        <v>1</v>
      </c>
      <c r="F61" s="641">
        <v>1</v>
      </c>
      <c r="G61" s="641"/>
      <c r="H61" s="641">
        <v>1</v>
      </c>
      <c r="I61" s="641">
        <v>1</v>
      </c>
      <c r="J61" s="641">
        <v>1</v>
      </c>
      <c r="K61" s="641">
        <v>1</v>
      </c>
      <c r="L61" s="641">
        <v>1</v>
      </c>
      <c r="M61" s="641">
        <v>1</v>
      </c>
      <c r="N61" s="641">
        <v>1</v>
      </c>
      <c r="O61" s="641"/>
      <c r="P61" s="641"/>
      <c r="Q61" s="641">
        <v>1</v>
      </c>
      <c r="R61" s="641"/>
      <c r="S61" s="641"/>
      <c r="T61" s="641"/>
      <c r="U61" s="641"/>
      <c r="V61" s="641"/>
    </row>
    <row r="62" spans="1:22" x14ac:dyDescent="0.2">
      <c r="A62" s="8">
        <v>14300</v>
      </c>
      <c r="B62" s="8" t="s">
        <v>118</v>
      </c>
      <c r="C62" s="8" t="s">
        <v>21</v>
      </c>
      <c r="D62" s="29" t="s">
        <v>1</v>
      </c>
      <c r="E62" s="641">
        <v>1</v>
      </c>
      <c r="F62" s="641">
        <v>1</v>
      </c>
      <c r="G62" s="641">
        <v>1</v>
      </c>
      <c r="H62" s="641">
        <v>1</v>
      </c>
      <c r="I62" s="641">
        <v>1</v>
      </c>
      <c r="J62" s="641">
        <v>1</v>
      </c>
      <c r="K62" s="641">
        <v>1</v>
      </c>
      <c r="L62" s="641"/>
      <c r="M62" s="641"/>
      <c r="N62" s="641"/>
      <c r="O62" s="641"/>
      <c r="P62" s="641"/>
      <c r="Q62" s="641"/>
      <c r="R62" s="641"/>
      <c r="S62" s="641"/>
      <c r="T62" s="641"/>
      <c r="U62" s="641"/>
      <c r="V62" s="641"/>
    </row>
    <row r="63" spans="1:22" x14ac:dyDescent="0.2">
      <c r="A63" s="8">
        <v>14350</v>
      </c>
      <c r="B63" s="8" t="s">
        <v>119</v>
      </c>
      <c r="C63" s="8" t="s">
        <v>39</v>
      </c>
      <c r="D63" s="29" t="s">
        <v>3</v>
      </c>
      <c r="E63" s="641">
        <v>1</v>
      </c>
      <c r="F63" s="641">
        <v>1</v>
      </c>
      <c r="G63" s="641"/>
      <c r="H63" s="641">
        <v>1</v>
      </c>
      <c r="I63" s="641">
        <v>1</v>
      </c>
      <c r="J63" s="641">
        <v>1</v>
      </c>
      <c r="K63" s="641">
        <v>1</v>
      </c>
      <c r="L63" s="641">
        <v>1</v>
      </c>
      <c r="M63" s="641"/>
      <c r="N63" s="641"/>
      <c r="O63" s="641"/>
      <c r="P63" s="641"/>
      <c r="Q63" s="641"/>
      <c r="R63" s="641"/>
      <c r="S63" s="641"/>
      <c r="T63" s="641"/>
      <c r="U63" s="641"/>
      <c r="V63" s="641"/>
    </row>
    <row r="64" spans="1:22" x14ac:dyDescent="0.2">
      <c r="A64" s="8">
        <v>14400</v>
      </c>
      <c r="B64" s="8" t="s">
        <v>120</v>
      </c>
      <c r="C64" s="8" t="s">
        <v>37</v>
      </c>
      <c r="D64" s="29" t="s">
        <v>2</v>
      </c>
      <c r="E64" s="641">
        <v>1</v>
      </c>
      <c r="F64" s="641">
        <v>1</v>
      </c>
      <c r="G64" s="641">
        <v>1</v>
      </c>
      <c r="H64" s="641">
        <v>1</v>
      </c>
      <c r="I64" s="641">
        <v>1</v>
      </c>
      <c r="J64" s="641">
        <v>1</v>
      </c>
      <c r="K64" s="641">
        <v>1</v>
      </c>
      <c r="L64" s="641">
        <v>1</v>
      </c>
      <c r="M64" s="641">
        <v>1</v>
      </c>
      <c r="N64" s="641">
        <v>1</v>
      </c>
      <c r="O64" s="641">
        <v>1</v>
      </c>
      <c r="P64" s="641">
        <v>1</v>
      </c>
      <c r="Q64" s="641"/>
      <c r="R64" s="641"/>
      <c r="S64" s="641"/>
      <c r="T64" s="641"/>
      <c r="U64" s="641"/>
      <c r="V64" s="641"/>
    </row>
    <row r="65" spans="1:22" x14ac:dyDescent="0.2">
      <c r="A65" s="8">
        <v>14500</v>
      </c>
      <c r="B65" s="8" t="s">
        <v>51</v>
      </c>
      <c r="C65" s="8" t="s">
        <v>24</v>
      </c>
      <c r="D65" s="29" t="s">
        <v>2</v>
      </c>
      <c r="E65" s="641">
        <v>1</v>
      </c>
      <c r="F65" s="641">
        <v>1</v>
      </c>
      <c r="G65" s="641">
        <v>1</v>
      </c>
      <c r="H65" s="641">
        <v>1</v>
      </c>
      <c r="I65" s="641">
        <v>1</v>
      </c>
      <c r="J65" s="641">
        <v>1</v>
      </c>
      <c r="K65" s="641">
        <v>1</v>
      </c>
      <c r="L65" s="641">
        <v>1</v>
      </c>
      <c r="M65" s="641">
        <v>1</v>
      </c>
      <c r="N65" s="641">
        <v>1</v>
      </c>
      <c r="O65" s="641">
        <v>1</v>
      </c>
      <c r="P65" s="641"/>
      <c r="Q65" s="641"/>
      <c r="R65" s="641"/>
      <c r="S65" s="641"/>
      <c r="T65" s="641"/>
      <c r="U65" s="641"/>
      <c r="V65" s="641"/>
    </row>
    <row r="66" spans="1:22" x14ac:dyDescent="0.2">
      <c r="A66" s="8">
        <v>14550</v>
      </c>
      <c r="B66" s="8" t="s">
        <v>121</v>
      </c>
      <c r="C66" s="8" t="s">
        <v>19</v>
      </c>
      <c r="D66" s="29" t="s">
        <v>3</v>
      </c>
      <c r="E66" s="641">
        <v>1</v>
      </c>
      <c r="F66" s="641">
        <v>1</v>
      </c>
      <c r="G66" s="641">
        <v>1</v>
      </c>
      <c r="H66" s="641">
        <v>1</v>
      </c>
      <c r="I66" s="641">
        <v>1</v>
      </c>
      <c r="J66" s="641">
        <v>1</v>
      </c>
      <c r="K66" s="641">
        <v>1</v>
      </c>
      <c r="L66" s="641"/>
      <c r="M66" s="641">
        <v>1</v>
      </c>
      <c r="N66" s="641"/>
      <c r="O66" s="641"/>
      <c r="P66" s="641"/>
      <c r="Q66" s="641"/>
      <c r="R66" s="641"/>
      <c r="S66" s="641"/>
      <c r="T66" s="641"/>
      <c r="U66" s="641"/>
      <c r="V66" s="641"/>
    </row>
    <row r="67" spans="1:22" x14ac:dyDescent="0.2">
      <c r="A67" s="8">
        <v>14600</v>
      </c>
      <c r="B67" s="8" t="s">
        <v>122</v>
      </c>
      <c r="C67" s="8" t="s">
        <v>38</v>
      </c>
      <c r="D67" s="29" t="s">
        <v>1</v>
      </c>
      <c r="E67" s="641">
        <v>1</v>
      </c>
      <c r="F67" s="641">
        <v>1</v>
      </c>
      <c r="G67" s="641">
        <v>1</v>
      </c>
      <c r="H67" s="641">
        <v>1</v>
      </c>
      <c r="I67" s="641">
        <v>1</v>
      </c>
      <c r="J67" s="641">
        <v>1</v>
      </c>
      <c r="K67" s="641">
        <v>1</v>
      </c>
      <c r="L67" s="641">
        <v>1</v>
      </c>
      <c r="M67" s="641">
        <v>1</v>
      </c>
      <c r="N67" s="641"/>
      <c r="O67" s="641">
        <v>1</v>
      </c>
      <c r="P67" s="641"/>
      <c r="Q67" s="641"/>
      <c r="R67" s="641"/>
      <c r="S67" s="641"/>
      <c r="T67" s="641"/>
      <c r="U67" s="641"/>
      <c r="V67" s="641"/>
    </row>
    <row r="68" spans="1:22" x14ac:dyDescent="0.2">
      <c r="A68" s="8">
        <v>14650</v>
      </c>
      <c r="B68" s="8" t="s">
        <v>123</v>
      </c>
      <c r="C68" s="8" t="s">
        <v>23</v>
      </c>
      <c r="D68" s="29" t="s">
        <v>2</v>
      </c>
      <c r="E68" s="641">
        <v>1</v>
      </c>
      <c r="F68" s="641">
        <v>1</v>
      </c>
      <c r="G68" s="641">
        <v>1</v>
      </c>
      <c r="H68" s="641">
        <v>1</v>
      </c>
      <c r="I68" s="641">
        <v>1</v>
      </c>
      <c r="J68" s="641">
        <v>1</v>
      </c>
      <c r="K68" s="641">
        <v>1</v>
      </c>
      <c r="L68" s="641">
        <v>1</v>
      </c>
      <c r="M68" s="641">
        <v>1</v>
      </c>
      <c r="N68" s="641">
        <v>1</v>
      </c>
      <c r="O68" s="641">
        <v>1</v>
      </c>
      <c r="P68" s="641"/>
      <c r="Q68" s="641"/>
      <c r="R68" s="641"/>
      <c r="S68" s="641"/>
      <c r="T68" s="641"/>
      <c r="U68" s="641"/>
      <c r="V68" s="641"/>
    </row>
    <row r="69" spans="1:22" x14ac:dyDescent="0.2">
      <c r="A69" s="8">
        <v>14700</v>
      </c>
      <c r="B69" s="8" t="s">
        <v>52</v>
      </c>
      <c r="C69" s="8" t="s">
        <v>24</v>
      </c>
      <c r="D69" s="29" t="s">
        <v>2</v>
      </c>
      <c r="E69" s="641">
        <v>1</v>
      </c>
      <c r="F69" s="641">
        <v>1</v>
      </c>
      <c r="G69" s="641"/>
      <c r="H69" s="641">
        <v>1</v>
      </c>
      <c r="I69" s="641">
        <v>1</v>
      </c>
      <c r="J69" s="641">
        <v>1</v>
      </c>
      <c r="K69" s="641">
        <v>1</v>
      </c>
      <c r="L69" s="641">
        <v>1</v>
      </c>
      <c r="M69" s="641">
        <v>1</v>
      </c>
      <c r="N69" s="641">
        <v>1</v>
      </c>
      <c r="O69" s="641">
        <v>1</v>
      </c>
      <c r="P69" s="641"/>
      <c r="Q69" s="641"/>
      <c r="R69" s="641"/>
      <c r="S69" s="641"/>
      <c r="T69" s="641"/>
      <c r="U69" s="641"/>
      <c r="V69" s="641"/>
    </row>
    <row r="70" spans="1:22" x14ac:dyDescent="0.2">
      <c r="A70" s="8">
        <v>14750</v>
      </c>
      <c r="B70" s="8" t="s">
        <v>124</v>
      </c>
      <c r="C70" s="8" t="s">
        <v>68</v>
      </c>
      <c r="D70" s="29" t="s">
        <v>1</v>
      </c>
      <c r="E70" s="641">
        <v>1</v>
      </c>
      <c r="F70" s="641">
        <v>1</v>
      </c>
      <c r="G70" s="641">
        <v>1</v>
      </c>
      <c r="H70" s="641">
        <v>1</v>
      </c>
      <c r="I70" s="641">
        <v>1</v>
      </c>
      <c r="J70" s="641">
        <v>1</v>
      </c>
      <c r="K70" s="641">
        <v>1</v>
      </c>
      <c r="L70" s="641">
        <v>1</v>
      </c>
      <c r="M70" s="641">
        <v>1</v>
      </c>
      <c r="N70" s="641">
        <v>1</v>
      </c>
      <c r="O70" s="641">
        <v>1</v>
      </c>
      <c r="P70" s="641">
        <v>1</v>
      </c>
      <c r="Q70" s="641"/>
      <c r="R70" s="641"/>
      <c r="S70" s="641"/>
      <c r="T70" s="641"/>
      <c r="U70" s="641"/>
      <c r="V70" s="641"/>
    </row>
    <row r="71" spans="1:22" x14ac:dyDescent="0.2">
      <c r="A71" s="8">
        <v>14850</v>
      </c>
      <c r="B71" s="8" t="s">
        <v>125</v>
      </c>
      <c r="C71" s="8" t="s">
        <v>19</v>
      </c>
      <c r="D71" s="29" t="s">
        <v>3</v>
      </c>
      <c r="E71" s="641">
        <v>1</v>
      </c>
      <c r="F71" s="641">
        <v>1</v>
      </c>
      <c r="G71" s="641">
        <v>1</v>
      </c>
      <c r="H71" s="641">
        <v>1</v>
      </c>
      <c r="I71" s="641">
        <v>1</v>
      </c>
      <c r="J71" s="641">
        <v>1</v>
      </c>
      <c r="K71" s="641">
        <v>1</v>
      </c>
      <c r="L71" s="641">
        <v>1</v>
      </c>
      <c r="M71" s="641">
        <v>1</v>
      </c>
      <c r="N71" s="641">
        <v>1</v>
      </c>
      <c r="O71" s="641">
        <v>1</v>
      </c>
      <c r="P71" s="641">
        <v>1</v>
      </c>
      <c r="Q71" s="641"/>
      <c r="R71" s="641"/>
      <c r="S71" s="641"/>
      <c r="T71" s="641"/>
      <c r="U71" s="641"/>
      <c r="V71" s="641"/>
    </row>
    <row r="72" spans="1:22" x14ac:dyDescent="0.2">
      <c r="A72" s="8">
        <v>14870</v>
      </c>
      <c r="B72" s="8" t="s">
        <v>126</v>
      </c>
      <c r="C72" s="8" t="s">
        <v>38</v>
      </c>
      <c r="D72" s="29" t="s">
        <v>1</v>
      </c>
      <c r="E72" s="641">
        <v>1</v>
      </c>
      <c r="F72" s="641">
        <v>1</v>
      </c>
      <c r="G72" s="641"/>
      <c r="H72" s="641">
        <v>1</v>
      </c>
      <c r="I72" s="641">
        <v>1</v>
      </c>
      <c r="J72" s="641">
        <v>1</v>
      </c>
      <c r="K72" s="641">
        <v>1</v>
      </c>
      <c r="L72" s="641"/>
      <c r="M72" s="641"/>
      <c r="N72" s="641"/>
      <c r="O72" s="641"/>
      <c r="P72" s="641"/>
      <c r="Q72" s="641"/>
      <c r="R72" s="641"/>
      <c r="S72" s="641"/>
      <c r="T72" s="641"/>
      <c r="U72" s="641"/>
      <c r="V72" s="641"/>
    </row>
    <row r="73" spans="1:22" x14ac:dyDescent="0.2">
      <c r="A73" s="8">
        <v>14900</v>
      </c>
      <c r="B73" s="8" t="s">
        <v>53</v>
      </c>
      <c r="C73" s="8" t="s">
        <v>18</v>
      </c>
      <c r="D73" s="29" t="s">
        <v>2</v>
      </c>
      <c r="E73" s="641">
        <v>1</v>
      </c>
      <c r="F73" s="641">
        <v>1</v>
      </c>
      <c r="G73" s="641">
        <v>1</v>
      </c>
      <c r="H73" s="641">
        <v>1</v>
      </c>
      <c r="I73" s="641">
        <v>1</v>
      </c>
      <c r="J73" s="641">
        <v>1</v>
      </c>
      <c r="K73" s="641">
        <v>1</v>
      </c>
      <c r="L73" s="641">
        <v>1</v>
      </c>
      <c r="M73" s="641">
        <v>1</v>
      </c>
      <c r="N73" s="641">
        <v>1</v>
      </c>
      <c r="O73" s="641"/>
      <c r="P73" s="641"/>
      <c r="Q73" s="641"/>
      <c r="R73" s="641"/>
      <c r="S73" s="641"/>
      <c r="T73" s="641"/>
      <c r="U73" s="641"/>
      <c r="V73" s="641"/>
    </row>
    <row r="74" spans="1:22" x14ac:dyDescent="0.2">
      <c r="A74" s="8">
        <v>14920</v>
      </c>
      <c r="B74" s="8" t="s">
        <v>127</v>
      </c>
      <c r="C74" s="8" t="s">
        <v>16</v>
      </c>
      <c r="D74" s="29" t="s">
        <v>1</v>
      </c>
      <c r="E74" s="641">
        <v>1</v>
      </c>
      <c r="F74" s="641">
        <v>1</v>
      </c>
      <c r="G74" s="641">
        <v>1</v>
      </c>
      <c r="H74" s="641">
        <v>1</v>
      </c>
      <c r="I74" s="641">
        <v>1</v>
      </c>
      <c r="J74" s="641">
        <v>1</v>
      </c>
      <c r="K74" s="641">
        <v>1</v>
      </c>
      <c r="L74" s="641">
        <v>1</v>
      </c>
      <c r="M74" s="641">
        <v>1</v>
      </c>
      <c r="N74" s="641">
        <v>1</v>
      </c>
      <c r="O74" s="641">
        <v>1</v>
      </c>
      <c r="P74" s="641"/>
      <c r="Q74" s="641"/>
      <c r="R74" s="641"/>
      <c r="S74" s="641"/>
      <c r="T74" s="641"/>
      <c r="U74" s="641"/>
      <c r="V74" s="641"/>
    </row>
    <row r="75" spans="1:22" x14ac:dyDescent="0.2">
      <c r="A75" s="8">
        <v>14950</v>
      </c>
      <c r="B75" s="8" t="s">
        <v>128</v>
      </c>
      <c r="C75" s="8" t="s">
        <v>21</v>
      </c>
      <c r="D75" s="29" t="s">
        <v>1</v>
      </c>
      <c r="E75" s="641">
        <v>1</v>
      </c>
      <c r="F75" s="641">
        <v>1</v>
      </c>
      <c r="G75" s="641">
        <v>1</v>
      </c>
      <c r="H75" s="641">
        <v>1</v>
      </c>
      <c r="I75" s="641">
        <v>1</v>
      </c>
      <c r="J75" s="641">
        <v>1</v>
      </c>
      <c r="K75" s="641"/>
      <c r="L75" s="641"/>
      <c r="M75" s="641">
        <v>1</v>
      </c>
      <c r="N75" s="641"/>
      <c r="O75" s="641">
        <v>1</v>
      </c>
      <c r="P75" s="641"/>
      <c r="Q75" s="641"/>
      <c r="R75" s="641"/>
      <c r="S75" s="641"/>
      <c r="T75" s="641"/>
      <c r="U75" s="641"/>
      <c r="V75" s="641"/>
    </row>
    <row r="76" spans="1:22" x14ac:dyDescent="0.2">
      <c r="A76" s="8">
        <v>15050</v>
      </c>
      <c r="B76" s="8" t="s">
        <v>129</v>
      </c>
      <c r="C76" s="8" t="s">
        <v>23</v>
      </c>
      <c r="D76" s="29" t="s">
        <v>2</v>
      </c>
      <c r="E76" s="641">
        <v>1</v>
      </c>
      <c r="F76" s="641">
        <v>1</v>
      </c>
      <c r="G76" s="641">
        <v>1</v>
      </c>
      <c r="H76" s="641">
        <v>1</v>
      </c>
      <c r="I76" s="641">
        <v>1</v>
      </c>
      <c r="J76" s="641">
        <v>1</v>
      </c>
      <c r="K76" s="641">
        <v>1</v>
      </c>
      <c r="L76" s="641">
        <v>1</v>
      </c>
      <c r="M76" s="641">
        <v>1</v>
      </c>
      <c r="N76" s="641"/>
      <c r="O76" s="641">
        <v>1</v>
      </c>
      <c r="P76" s="641">
        <v>1</v>
      </c>
      <c r="Q76" s="641"/>
      <c r="R76" s="641"/>
      <c r="S76" s="641"/>
      <c r="T76" s="641"/>
      <c r="U76" s="641"/>
      <c r="V76" s="641"/>
    </row>
    <row r="77" spans="1:22" x14ac:dyDescent="0.2">
      <c r="A77" s="8">
        <v>15240</v>
      </c>
      <c r="B77" s="8" t="s">
        <v>130</v>
      </c>
      <c r="C77" s="8" t="s">
        <v>39</v>
      </c>
      <c r="D77" s="29" t="s">
        <v>3</v>
      </c>
      <c r="E77" s="641">
        <v>1</v>
      </c>
      <c r="F77" s="641">
        <v>1</v>
      </c>
      <c r="G77" s="641">
        <v>1</v>
      </c>
      <c r="H77" s="641">
        <v>1</v>
      </c>
      <c r="I77" s="641">
        <v>1</v>
      </c>
      <c r="J77" s="641">
        <v>1</v>
      </c>
      <c r="K77" s="641">
        <v>1</v>
      </c>
      <c r="L77" s="641">
        <v>1</v>
      </c>
      <c r="M77" s="641">
        <v>1</v>
      </c>
      <c r="N77" s="641">
        <v>1</v>
      </c>
      <c r="O77" s="641">
        <v>1</v>
      </c>
      <c r="P77" s="641"/>
      <c r="Q77" s="641"/>
      <c r="R77" s="641"/>
      <c r="S77" s="641"/>
      <c r="T77" s="641"/>
      <c r="U77" s="641"/>
      <c r="V77" s="641"/>
    </row>
    <row r="78" spans="1:22" x14ac:dyDescent="0.2">
      <c r="A78" s="8">
        <v>15270</v>
      </c>
      <c r="B78" s="8" t="s">
        <v>131</v>
      </c>
      <c r="C78" s="8" t="s">
        <v>38</v>
      </c>
      <c r="D78" s="29" t="s">
        <v>1</v>
      </c>
      <c r="E78" s="641">
        <v>1</v>
      </c>
      <c r="F78" s="641">
        <v>1</v>
      </c>
      <c r="G78" s="641"/>
      <c r="H78" s="641">
        <v>1</v>
      </c>
      <c r="I78" s="641">
        <v>1</v>
      </c>
      <c r="J78" s="641">
        <v>1</v>
      </c>
      <c r="K78" s="641">
        <v>1</v>
      </c>
      <c r="L78" s="641"/>
      <c r="M78" s="641"/>
      <c r="N78" s="641"/>
      <c r="O78" s="641"/>
      <c r="P78" s="641"/>
      <c r="Q78" s="641"/>
      <c r="R78" s="641"/>
      <c r="S78" s="641"/>
      <c r="T78" s="641"/>
      <c r="U78" s="641"/>
      <c r="V78" s="641"/>
    </row>
    <row r="79" spans="1:22" x14ac:dyDescent="0.2">
      <c r="A79" s="8">
        <v>15300</v>
      </c>
      <c r="B79" s="8" t="s">
        <v>132</v>
      </c>
      <c r="C79" s="8" t="s">
        <v>16</v>
      </c>
      <c r="D79" s="29" t="s">
        <v>1</v>
      </c>
      <c r="E79" s="641">
        <v>1</v>
      </c>
      <c r="F79" s="641">
        <v>1</v>
      </c>
      <c r="G79" s="641">
        <v>1</v>
      </c>
      <c r="H79" s="641">
        <v>1</v>
      </c>
      <c r="I79" s="641">
        <v>1</v>
      </c>
      <c r="J79" s="641">
        <v>1</v>
      </c>
      <c r="K79" s="641">
        <v>1</v>
      </c>
      <c r="L79" s="641">
        <v>1</v>
      </c>
      <c r="M79" s="641"/>
      <c r="N79" s="641"/>
      <c r="O79" s="641"/>
      <c r="P79" s="641"/>
      <c r="Q79" s="641"/>
      <c r="R79" s="641"/>
      <c r="S79" s="641"/>
      <c r="T79" s="641"/>
      <c r="U79" s="641"/>
      <c r="V79" s="641"/>
    </row>
    <row r="80" spans="1:22" x14ac:dyDescent="0.2">
      <c r="A80" s="8">
        <v>15350</v>
      </c>
      <c r="B80" s="8" t="s">
        <v>133</v>
      </c>
      <c r="C80" s="8" t="s">
        <v>24</v>
      </c>
      <c r="D80" s="29" t="s">
        <v>2</v>
      </c>
      <c r="E80" s="641">
        <v>1</v>
      </c>
      <c r="F80" s="641">
        <v>1</v>
      </c>
      <c r="G80" s="641">
        <v>1</v>
      </c>
      <c r="H80" s="641">
        <v>1</v>
      </c>
      <c r="I80" s="641">
        <v>1</v>
      </c>
      <c r="J80" s="641">
        <v>1</v>
      </c>
      <c r="K80" s="641">
        <v>1</v>
      </c>
      <c r="L80" s="641">
        <v>1</v>
      </c>
      <c r="M80" s="641">
        <v>1</v>
      </c>
      <c r="N80" s="641">
        <v>1</v>
      </c>
      <c r="O80" s="641">
        <v>1</v>
      </c>
      <c r="P80" s="641"/>
      <c r="Q80" s="641"/>
      <c r="R80" s="641"/>
      <c r="S80" s="641"/>
      <c r="T80" s="641"/>
      <c r="U80" s="641"/>
      <c r="V80" s="641"/>
    </row>
    <row r="81" spans="1:22" x14ac:dyDescent="0.2">
      <c r="A81" s="8">
        <v>15520</v>
      </c>
      <c r="B81" s="8" t="s">
        <v>134</v>
      </c>
      <c r="C81" s="8" t="s">
        <v>66</v>
      </c>
      <c r="D81" s="29" t="s">
        <v>1</v>
      </c>
      <c r="E81" s="641">
        <v>1</v>
      </c>
      <c r="F81" s="641">
        <v>1</v>
      </c>
      <c r="G81" s="641"/>
      <c r="H81" s="641">
        <v>1</v>
      </c>
      <c r="I81" s="641">
        <v>1</v>
      </c>
      <c r="J81" s="641">
        <v>1</v>
      </c>
      <c r="K81" s="641">
        <v>1</v>
      </c>
      <c r="L81" s="641"/>
      <c r="M81" s="641">
        <v>1</v>
      </c>
      <c r="N81" s="641"/>
      <c r="O81" s="641"/>
      <c r="P81" s="641"/>
      <c r="Q81" s="641"/>
      <c r="R81" s="641"/>
      <c r="S81" s="641"/>
      <c r="T81" s="641"/>
      <c r="U81" s="641"/>
      <c r="V81" s="641"/>
    </row>
    <row r="82" spans="1:22" x14ac:dyDescent="0.2">
      <c r="A82" s="8">
        <v>15560</v>
      </c>
      <c r="B82" s="8" t="s">
        <v>135</v>
      </c>
      <c r="C82" s="8" t="s">
        <v>68</v>
      </c>
      <c r="D82" s="29" t="s">
        <v>1</v>
      </c>
      <c r="E82" s="641">
        <v>1</v>
      </c>
      <c r="F82" s="641">
        <v>1</v>
      </c>
      <c r="G82" s="641">
        <v>1</v>
      </c>
      <c r="H82" s="641">
        <v>1</v>
      </c>
      <c r="I82" s="641">
        <v>1</v>
      </c>
      <c r="J82" s="641">
        <v>1</v>
      </c>
      <c r="K82" s="641">
        <v>1</v>
      </c>
      <c r="L82" s="641"/>
      <c r="M82" s="641"/>
      <c r="N82" s="641"/>
      <c r="O82" s="641"/>
      <c r="P82" s="641"/>
      <c r="Q82" s="641"/>
      <c r="R82" s="641"/>
      <c r="S82" s="641"/>
      <c r="T82" s="641"/>
      <c r="U82" s="641"/>
      <c r="V82" s="641"/>
    </row>
    <row r="83" spans="1:22" x14ac:dyDescent="0.2">
      <c r="A83" s="8">
        <v>15650</v>
      </c>
      <c r="B83" s="8" t="s">
        <v>136</v>
      </c>
      <c r="C83" s="8" t="s">
        <v>23</v>
      </c>
      <c r="D83" s="29" t="s">
        <v>3</v>
      </c>
      <c r="E83" s="641">
        <v>1</v>
      </c>
      <c r="F83" s="641">
        <v>1</v>
      </c>
      <c r="G83" s="641">
        <v>1</v>
      </c>
      <c r="H83" s="641">
        <v>1</v>
      </c>
      <c r="I83" s="641">
        <v>1</v>
      </c>
      <c r="J83" s="641">
        <v>1</v>
      </c>
      <c r="K83" s="641">
        <v>1</v>
      </c>
      <c r="L83" s="641"/>
      <c r="M83" s="641">
        <v>1</v>
      </c>
      <c r="N83" s="641">
        <v>1</v>
      </c>
      <c r="O83" s="641"/>
      <c r="P83" s="641">
        <v>1</v>
      </c>
      <c r="Q83" s="641"/>
      <c r="R83" s="641"/>
      <c r="S83" s="641"/>
      <c r="T83" s="641"/>
      <c r="U83" s="641"/>
      <c r="V83" s="641"/>
    </row>
    <row r="84" spans="1:22" x14ac:dyDescent="0.2">
      <c r="A84" s="8">
        <v>15700</v>
      </c>
      <c r="B84" s="8" t="s">
        <v>54</v>
      </c>
      <c r="C84" s="8" t="s">
        <v>39</v>
      </c>
      <c r="D84" s="29" t="s">
        <v>3</v>
      </c>
      <c r="E84" s="641">
        <v>1</v>
      </c>
      <c r="F84" s="641">
        <v>1</v>
      </c>
      <c r="G84" s="641"/>
      <c r="H84" s="641">
        <v>1</v>
      </c>
      <c r="I84" s="641">
        <v>1</v>
      </c>
      <c r="J84" s="641">
        <v>1</v>
      </c>
      <c r="K84" s="641">
        <v>1</v>
      </c>
      <c r="L84" s="641">
        <v>1</v>
      </c>
      <c r="M84" s="641">
        <v>1</v>
      </c>
      <c r="N84" s="641">
        <v>1</v>
      </c>
      <c r="O84" s="641">
        <v>1</v>
      </c>
      <c r="P84" s="641"/>
      <c r="Q84" s="641"/>
      <c r="R84" s="641"/>
      <c r="S84" s="641"/>
      <c r="T84" s="641"/>
      <c r="U84" s="641"/>
      <c r="V84" s="641"/>
    </row>
    <row r="85" spans="1:22" x14ac:dyDescent="0.2">
      <c r="A85" s="8">
        <v>15750</v>
      </c>
      <c r="B85" s="8" t="s">
        <v>137</v>
      </c>
      <c r="C85" s="8" t="s">
        <v>16</v>
      </c>
      <c r="D85" s="29" t="s">
        <v>1</v>
      </c>
      <c r="E85" s="641">
        <v>1</v>
      </c>
      <c r="F85" s="641">
        <v>1</v>
      </c>
      <c r="G85" s="641"/>
      <c r="H85" s="641">
        <v>1</v>
      </c>
      <c r="I85" s="641">
        <v>1</v>
      </c>
      <c r="J85" s="641">
        <v>1</v>
      </c>
      <c r="K85" s="641">
        <v>1</v>
      </c>
      <c r="L85" s="641">
        <v>1</v>
      </c>
      <c r="M85" s="641">
        <v>1</v>
      </c>
      <c r="N85" s="641">
        <v>1</v>
      </c>
      <c r="O85" s="641">
        <v>1</v>
      </c>
      <c r="P85" s="641">
        <v>1</v>
      </c>
      <c r="Q85" s="641"/>
      <c r="R85" s="641"/>
      <c r="S85" s="641"/>
      <c r="T85" s="641"/>
      <c r="U85" s="641"/>
      <c r="V85" s="641"/>
    </row>
    <row r="86" spans="1:22" x14ac:dyDescent="0.2">
      <c r="A86" s="8">
        <v>15800</v>
      </c>
      <c r="B86" s="8" t="s">
        <v>138</v>
      </c>
      <c r="C86" s="8" t="s">
        <v>68</v>
      </c>
      <c r="D86" s="29" t="s">
        <v>1</v>
      </c>
      <c r="E86" s="641">
        <v>1</v>
      </c>
      <c r="F86" s="641">
        <v>1</v>
      </c>
      <c r="G86" s="641"/>
      <c r="H86" s="641"/>
      <c r="I86" s="641">
        <v>1</v>
      </c>
      <c r="J86" s="641">
        <v>1</v>
      </c>
      <c r="K86" s="641">
        <v>1</v>
      </c>
      <c r="L86" s="641">
        <v>1</v>
      </c>
      <c r="M86" s="641">
        <v>1</v>
      </c>
      <c r="N86" s="641">
        <v>1</v>
      </c>
      <c r="O86" s="641">
        <v>1</v>
      </c>
      <c r="P86" s="641"/>
      <c r="Q86" s="641"/>
      <c r="R86" s="641"/>
      <c r="S86" s="641"/>
      <c r="T86" s="641"/>
      <c r="U86" s="641"/>
      <c r="V86" s="641"/>
    </row>
    <row r="87" spans="1:22" x14ac:dyDescent="0.2">
      <c r="A87" s="8">
        <v>15850</v>
      </c>
      <c r="B87" s="8" t="s">
        <v>139</v>
      </c>
      <c r="C87" s="8" t="s">
        <v>38</v>
      </c>
      <c r="D87" s="29" t="s">
        <v>1</v>
      </c>
      <c r="E87" s="641">
        <v>1</v>
      </c>
      <c r="F87" s="641">
        <v>1</v>
      </c>
      <c r="G87" s="641">
        <v>1</v>
      </c>
      <c r="H87" s="641">
        <v>1</v>
      </c>
      <c r="I87" s="641">
        <v>1</v>
      </c>
      <c r="J87" s="641">
        <v>1</v>
      </c>
      <c r="K87" s="641">
        <v>1</v>
      </c>
      <c r="L87" s="641">
        <v>1</v>
      </c>
      <c r="M87" s="641">
        <v>1</v>
      </c>
      <c r="N87" s="641">
        <v>1</v>
      </c>
      <c r="O87" s="641">
        <v>1</v>
      </c>
      <c r="P87" s="641"/>
      <c r="Q87" s="641"/>
      <c r="R87" s="641"/>
      <c r="S87" s="641"/>
      <c r="T87" s="641"/>
      <c r="U87" s="641"/>
      <c r="V87" s="641"/>
    </row>
    <row r="88" spans="1:22" x14ac:dyDescent="0.2">
      <c r="A88" s="8">
        <v>15900</v>
      </c>
      <c r="B88" s="8" t="s">
        <v>140</v>
      </c>
      <c r="C88" s="8" t="s">
        <v>23</v>
      </c>
      <c r="D88" s="29" t="s">
        <v>2</v>
      </c>
      <c r="E88" s="641">
        <v>1</v>
      </c>
      <c r="F88" s="641">
        <v>1</v>
      </c>
      <c r="G88" s="641">
        <v>1</v>
      </c>
      <c r="H88" s="641">
        <v>1</v>
      </c>
      <c r="I88" s="641">
        <v>1</v>
      </c>
      <c r="J88" s="641">
        <v>1</v>
      </c>
      <c r="K88" s="641">
        <v>1</v>
      </c>
      <c r="L88" s="641">
        <v>1</v>
      </c>
      <c r="M88" s="641">
        <v>1</v>
      </c>
      <c r="N88" s="641"/>
      <c r="O88" s="641">
        <v>1</v>
      </c>
      <c r="P88" s="641"/>
      <c r="Q88" s="641">
        <v>1</v>
      </c>
      <c r="R88" s="641"/>
      <c r="S88" s="641"/>
      <c r="T88" s="641"/>
      <c r="U88" s="641"/>
      <c r="V88" s="641"/>
    </row>
    <row r="89" spans="1:22" x14ac:dyDescent="0.2">
      <c r="A89" s="8">
        <v>15950</v>
      </c>
      <c r="B89" s="8" t="s">
        <v>55</v>
      </c>
      <c r="C89" s="8" t="s">
        <v>24</v>
      </c>
      <c r="D89" s="29" t="s">
        <v>2</v>
      </c>
      <c r="E89" s="641">
        <v>1</v>
      </c>
      <c r="F89" s="641">
        <v>1</v>
      </c>
      <c r="G89" s="641"/>
      <c r="H89" s="641">
        <v>1</v>
      </c>
      <c r="I89" s="641">
        <v>1</v>
      </c>
      <c r="J89" s="641">
        <v>1</v>
      </c>
      <c r="K89" s="641"/>
      <c r="L89" s="641"/>
      <c r="M89" s="641"/>
      <c r="N89" s="641"/>
      <c r="O89" s="641"/>
      <c r="P89" s="641"/>
      <c r="Q89" s="641"/>
      <c r="R89" s="641"/>
      <c r="S89" s="641"/>
      <c r="T89" s="641"/>
      <c r="U89" s="641"/>
      <c r="V89" s="641"/>
    </row>
    <row r="90" spans="1:22" x14ac:dyDescent="0.2">
      <c r="A90" s="8">
        <v>15990</v>
      </c>
      <c r="B90" s="8" t="s">
        <v>141</v>
      </c>
      <c r="C90" s="8"/>
      <c r="D90" s="29" t="s">
        <v>2</v>
      </c>
      <c r="E90" s="641">
        <v>1</v>
      </c>
      <c r="F90" s="641">
        <v>1</v>
      </c>
      <c r="G90" s="641">
        <v>1</v>
      </c>
      <c r="H90" s="641">
        <v>1</v>
      </c>
      <c r="I90" s="641">
        <v>1</v>
      </c>
      <c r="J90" s="641">
        <v>1</v>
      </c>
      <c r="K90" s="641">
        <v>1</v>
      </c>
      <c r="L90" s="641">
        <v>1</v>
      </c>
      <c r="M90" s="641">
        <v>1</v>
      </c>
      <c r="N90" s="641">
        <v>1</v>
      </c>
      <c r="O90" s="641">
        <v>1</v>
      </c>
      <c r="P90" s="641"/>
      <c r="Q90" s="641"/>
      <c r="R90" s="641"/>
      <c r="S90" s="641"/>
      <c r="T90" s="641"/>
      <c r="U90" s="641"/>
      <c r="V90" s="641"/>
    </row>
    <row r="91" spans="1:22" x14ac:dyDescent="0.2">
      <c r="A91" s="8">
        <v>16100</v>
      </c>
      <c r="B91" s="8" t="s">
        <v>142</v>
      </c>
      <c r="C91" s="8" t="s">
        <v>38</v>
      </c>
      <c r="D91" s="29" t="s">
        <v>1</v>
      </c>
      <c r="E91" s="641"/>
      <c r="F91" s="641"/>
      <c r="G91" s="641"/>
      <c r="H91" s="641"/>
      <c r="I91" s="641"/>
      <c r="J91" s="641"/>
      <c r="K91" s="641"/>
      <c r="L91" s="641"/>
      <c r="M91" s="641"/>
      <c r="N91" s="641"/>
      <c r="O91" s="641"/>
      <c r="P91" s="641"/>
      <c r="Q91" s="641"/>
      <c r="R91" s="641"/>
      <c r="S91" s="641"/>
      <c r="T91" s="641"/>
      <c r="U91" s="641"/>
      <c r="V91" s="641"/>
    </row>
    <row r="92" spans="1:22" x14ac:dyDescent="0.2">
      <c r="A92" s="8">
        <v>16150</v>
      </c>
      <c r="B92" s="8" t="s">
        <v>143</v>
      </c>
      <c r="C92" s="8" t="s">
        <v>38</v>
      </c>
      <c r="D92" s="29" t="s">
        <v>1</v>
      </c>
      <c r="E92" s="641">
        <v>1</v>
      </c>
      <c r="F92" s="641">
        <v>1</v>
      </c>
      <c r="G92" s="641">
        <v>1</v>
      </c>
      <c r="H92" s="641">
        <v>1</v>
      </c>
      <c r="I92" s="641">
        <v>1</v>
      </c>
      <c r="J92" s="641">
        <v>1</v>
      </c>
      <c r="K92" s="641">
        <v>1</v>
      </c>
      <c r="L92" s="641"/>
      <c r="M92" s="641"/>
      <c r="N92" s="641"/>
      <c r="O92" s="641"/>
      <c r="P92" s="641"/>
      <c r="Q92" s="641"/>
      <c r="R92" s="641"/>
      <c r="S92" s="641"/>
      <c r="T92" s="641"/>
      <c r="U92" s="641"/>
      <c r="V92" s="641"/>
    </row>
    <row r="93" spans="1:22" x14ac:dyDescent="0.2">
      <c r="A93" s="8">
        <v>16200</v>
      </c>
      <c r="B93" s="8" t="s">
        <v>144</v>
      </c>
      <c r="C93" s="8" t="s">
        <v>38</v>
      </c>
      <c r="D93" s="29" t="s">
        <v>1</v>
      </c>
      <c r="E93" s="641">
        <v>1</v>
      </c>
      <c r="F93" s="641">
        <v>1</v>
      </c>
      <c r="G93" s="641">
        <v>1</v>
      </c>
      <c r="H93" s="641">
        <v>1</v>
      </c>
      <c r="I93" s="641">
        <v>1</v>
      </c>
      <c r="J93" s="641">
        <v>1</v>
      </c>
      <c r="K93" s="641">
        <v>1</v>
      </c>
      <c r="L93" s="641">
        <v>1</v>
      </c>
      <c r="M93" s="641">
        <v>1</v>
      </c>
      <c r="N93" s="641">
        <v>1</v>
      </c>
      <c r="O93" s="641">
        <v>1</v>
      </c>
      <c r="P93" s="641">
        <v>1</v>
      </c>
      <c r="Q93" s="641"/>
      <c r="R93" s="641"/>
      <c r="S93" s="641"/>
      <c r="T93" s="641"/>
      <c r="U93" s="641"/>
      <c r="V93" s="641"/>
    </row>
    <row r="94" spans="1:22" x14ac:dyDescent="0.2">
      <c r="A94" s="8">
        <v>16260</v>
      </c>
      <c r="B94" s="8" t="s">
        <v>56</v>
      </c>
      <c r="C94" s="8" t="s">
        <v>18</v>
      </c>
      <c r="D94" s="29" t="s">
        <v>2</v>
      </c>
      <c r="E94" s="641">
        <v>1</v>
      </c>
      <c r="F94" s="641">
        <v>1</v>
      </c>
      <c r="G94" s="641">
        <v>1</v>
      </c>
      <c r="H94" s="641">
        <v>1</v>
      </c>
      <c r="I94" s="641">
        <v>1</v>
      </c>
      <c r="J94" s="641">
        <v>1</v>
      </c>
      <c r="K94" s="641">
        <v>1</v>
      </c>
      <c r="L94" s="641">
        <v>1</v>
      </c>
      <c r="M94" s="641">
        <v>1</v>
      </c>
      <c r="N94" s="641">
        <v>1</v>
      </c>
      <c r="O94" s="641">
        <v>1</v>
      </c>
      <c r="P94" s="641"/>
      <c r="Q94" s="641"/>
      <c r="R94" s="641"/>
      <c r="S94" s="641"/>
      <c r="T94" s="641"/>
      <c r="U94" s="641"/>
      <c r="V94" s="641"/>
    </row>
    <row r="95" spans="1:22" x14ac:dyDescent="0.2">
      <c r="A95" s="8">
        <v>16350</v>
      </c>
      <c r="B95" s="8" t="s">
        <v>57</v>
      </c>
      <c r="C95" s="8" t="s">
        <v>182</v>
      </c>
      <c r="D95" s="29" t="s">
        <v>2</v>
      </c>
      <c r="E95" s="641">
        <v>1</v>
      </c>
      <c r="F95" s="641">
        <v>1</v>
      </c>
      <c r="G95" s="641">
        <v>1</v>
      </c>
      <c r="H95" s="641">
        <v>1</v>
      </c>
      <c r="I95" s="641">
        <v>1</v>
      </c>
      <c r="J95" s="641">
        <v>1</v>
      </c>
      <c r="K95" s="641">
        <v>1</v>
      </c>
      <c r="L95" s="641">
        <v>1</v>
      </c>
      <c r="M95" s="641">
        <v>1</v>
      </c>
      <c r="N95" s="641">
        <v>1</v>
      </c>
      <c r="O95" s="641">
        <v>1</v>
      </c>
      <c r="P95" s="641"/>
      <c r="Q95" s="641"/>
      <c r="R95" s="641"/>
      <c r="S95" s="641"/>
      <c r="T95" s="641"/>
      <c r="U95" s="641"/>
      <c r="V95" s="641"/>
    </row>
    <row r="96" spans="1:22" x14ac:dyDescent="0.2">
      <c r="A96" s="8">
        <v>16380</v>
      </c>
      <c r="B96" s="8" t="s">
        <v>145</v>
      </c>
      <c r="C96" s="8" t="s">
        <v>39</v>
      </c>
      <c r="D96" s="29" t="s">
        <v>3</v>
      </c>
      <c r="E96" s="641">
        <v>1</v>
      </c>
      <c r="F96" s="641">
        <v>1</v>
      </c>
      <c r="G96" s="641"/>
      <c r="H96" s="641">
        <v>1</v>
      </c>
      <c r="I96" s="641">
        <v>1</v>
      </c>
      <c r="J96" s="641">
        <v>1</v>
      </c>
      <c r="K96" s="641">
        <v>1</v>
      </c>
      <c r="L96" s="641">
        <v>1</v>
      </c>
      <c r="M96" s="641">
        <v>1</v>
      </c>
      <c r="N96" s="641">
        <v>1</v>
      </c>
      <c r="O96" s="641">
        <v>1</v>
      </c>
      <c r="P96" s="641">
        <v>1</v>
      </c>
      <c r="Q96" s="641"/>
      <c r="R96" s="641"/>
      <c r="S96" s="641"/>
      <c r="T96" s="641"/>
      <c r="U96" s="641"/>
      <c r="V96" s="641"/>
    </row>
    <row r="97" spans="1:22" x14ac:dyDescent="0.2">
      <c r="A97" s="8">
        <v>16400</v>
      </c>
      <c r="B97" s="8" t="s">
        <v>58</v>
      </c>
      <c r="C97" s="8" t="s">
        <v>23</v>
      </c>
      <c r="D97" s="29" t="s">
        <v>2</v>
      </c>
      <c r="E97" s="641">
        <v>1</v>
      </c>
      <c r="F97" s="641">
        <v>1</v>
      </c>
      <c r="G97" s="641">
        <v>1</v>
      </c>
      <c r="H97" s="641">
        <v>1</v>
      </c>
      <c r="I97" s="641">
        <v>1</v>
      </c>
      <c r="J97" s="641">
        <v>1</v>
      </c>
      <c r="K97" s="641">
        <v>1</v>
      </c>
      <c r="L97" s="641">
        <v>1</v>
      </c>
      <c r="M97" s="641">
        <v>1</v>
      </c>
      <c r="N97" s="641">
        <v>1</v>
      </c>
      <c r="O97" s="641">
        <v>1</v>
      </c>
      <c r="P97" s="641"/>
      <c r="Q97" s="641"/>
      <c r="R97" s="641"/>
      <c r="S97" s="641"/>
      <c r="T97" s="641"/>
      <c r="U97" s="641"/>
      <c r="V97" s="641"/>
    </row>
    <row r="98" spans="1:22" x14ac:dyDescent="0.2">
      <c r="A98" s="8">
        <v>16490</v>
      </c>
      <c r="B98" s="8" t="s">
        <v>146</v>
      </c>
      <c r="C98" s="8" t="s">
        <v>67</v>
      </c>
      <c r="D98" s="29" t="s">
        <v>1</v>
      </c>
      <c r="E98" s="641">
        <v>1</v>
      </c>
      <c r="F98" s="641">
        <v>1</v>
      </c>
      <c r="G98" s="641">
        <v>1</v>
      </c>
      <c r="H98" s="641">
        <v>1</v>
      </c>
      <c r="I98" s="641">
        <v>1</v>
      </c>
      <c r="J98" s="641">
        <v>1</v>
      </c>
      <c r="K98" s="641">
        <v>1</v>
      </c>
      <c r="L98" s="641"/>
      <c r="M98" s="641">
        <v>1</v>
      </c>
      <c r="N98" s="641"/>
      <c r="O98" s="641"/>
      <c r="P98" s="641"/>
      <c r="Q98" s="641"/>
      <c r="R98" s="641"/>
      <c r="S98" s="641"/>
      <c r="T98" s="641"/>
      <c r="U98" s="641">
        <v>1</v>
      </c>
      <c r="V98" s="641" t="s">
        <v>483</v>
      </c>
    </row>
    <row r="99" spans="1:22" x14ac:dyDescent="0.2">
      <c r="A99" s="8">
        <v>16550</v>
      </c>
      <c r="B99" s="8" t="s">
        <v>59</v>
      </c>
      <c r="C99" s="8" t="s">
        <v>17</v>
      </c>
      <c r="D99" s="29" t="s">
        <v>2</v>
      </c>
      <c r="E99" s="641">
        <v>1</v>
      </c>
      <c r="F99" s="641">
        <v>1</v>
      </c>
      <c r="G99" s="641">
        <v>1</v>
      </c>
      <c r="H99" s="641">
        <v>1</v>
      </c>
      <c r="I99" s="641">
        <v>1</v>
      </c>
      <c r="J99" s="641">
        <v>1</v>
      </c>
      <c r="K99" s="641">
        <v>1</v>
      </c>
      <c r="L99" s="641">
        <v>1</v>
      </c>
      <c r="M99" s="641">
        <v>1</v>
      </c>
      <c r="N99" s="641"/>
      <c r="O99" s="641"/>
      <c r="P99" s="641"/>
      <c r="Q99" s="641"/>
      <c r="R99" s="641"/>
      <c r="S99" s="641"/>
      <c r="T99" s="641"/>
      <c r="U99" s="641"/>
      <c r="V99" s="641"/>
    </row>
    <row r="100" spans="1:22" x14ac:dyDescent="0.2">
      <c r="A100" s="8">
        <v>16610</v>
      </c>
      <c r="B100" s="8" t="s">
        <v>147</v>
      </c>
      <c r="C100" s="8" t="s">
        <v>19</v>
      </c>
      <c r="D100" s="29" t="s">
        <v>3</v>
      </c>
      <c r="E100" s="641">
        <v>1</v>
      </c>
      <c r="F100" s="641">
        <v>1</v>
      </c>
      <c r="G100" s="641">
        <v>1</v>
      </c>
      <c r="H100" s="641">
        <v>1</v>
      </c>
      <c r="I100" s="641">
        <v>1</v>
      </c>
      <c r="J100" s="641">
        <v>1</v>
      </c>
      <c r="K100" s="641">
        <v>1</v>
      </c>
      <c r="L100" s="641"/>
      <c r="M100" s="641">
        <v>1</v>
      </c>
      <c r="N100" s="641"/>
      <c r="O100" s="641"/>
      <c r="P100" s="641"/>
      <c r="Q100" s="641"/>
      <c r="R100" s="641"/>
      <c r="S100" s="641"/>
      <c r="T100" s="641"/>
      <c r="U100" s="641"/>
      <c r="V100" s="641"/>
    </row>
    <row r="101" spans="1:22" x14ac:dyDescent="0.2">
      <c r="A101" s="8">
        <v>16700</v>
      </c>
      <c r="B101" s="8" t="s">
        <v>60</v>
      </c>
      <c r="C101" s="8" t="s">
        <v>24</v>
      </c>
      <c r="D101" s="29" t="s">
        <v>2</v>
      </c>
      <c r="E101" s="641">
        <v>1</v>
      </c>
      <c r="F101" s="641">
        <v>1</v>
      </c>
      <c r="G101" s="641">
        <v>1</v>
      </c>
      <c r="H101" s="641">
        <v>1</v>
      </c>
      <c r="I101" s="641">
        <v>1</v>
      </c>
      <c r="J101" s="641">
        <v>1</v>
      </c>
      <c r="K101" s="641">
        <v>1</v>
      </c>
      <c r="L101" s="641">
        <v>1</v>
      </c>
      <c r="M101" s="641">
        <v>1</v>
      </c>
      <c r="N101" s="641">
        <v>1</v>
      </c>
      <c r="O101" s="641">
        <v>1</v>
      </c>
      <c r="P101" s="641"/>
      <c r="Q101" s="641"/>
      <c r="R101" s="641"/>
      <c r="S101" s="641"/>
      <c r="T101" s="641"/>
      <c r="U101" s="641"/>
      <c r="V101" s="641"/>
    </row>
    <row r="102" spans="1:22" x14ac:dyDescent="0.2">
      <c r="A102" s="8">
        <v>16900</v>
      </c>
      <c r="B102" s="8" t="s">
        <v>148</v>
      </c>
      <c r="C102" s="8" t="s">
        <v>37</v>
      </c>
      <c r="D102" s="29" t="s">
        <v>2</v>
      </c>
      <c r="E102" s="641">
        <v>1</v>
      </c>
      <c r="F102" s="641">
        <v>1</v>
      </c>
      <c r="G102" s="641">
        <v>1</v>
      </c>
      <c r="H102" s="641">
        <v>1</v>
      </c>
      <c r="I102" s="641">
        <v>1</v>
      </c>
      <c r="J102" s="641">
        <v>1</v>
      </c>
      <c r="K102" s="641">
        <v>1</v>
      </c>
      <c r="L102" s="641">
        <v>1</v>
      </c>
      <c r="M102" s="641">
        <v>1</v>
      </c>
      <c r="N102" s="641">
        <v>1</v>
      </c>
      <c r="O102" s="641">
        <v>1</v>
      </c>
      <c r="P102" s="641"/>
      <c r="Q102" s="641"/>
      <c r="R102" s="641"/>
      <c r="S102" s="641"/>
      <c r="T102" s="641"/>
      <c r="U102" s="641"/>
      <c r="V102" s="641"/>
    </row>
    <row r="103" spans="1:22" x14ac:dyDescent="0.2">
      <c r="A103" s="8">
        <v>16950</v>
      </c>
      <c r="B103" s="8" t="s">
        <v>149</v>
      </c>
      <c r="C103" s="8" t="s">
        <v>37</v>
      </c>
      <c r="D103" s="29" t="s">
        <v>2</v>
      </c>
      <c r="E103" s="641">
        <v>1</v>
      </c>
      <c r="F103" s="641">
        <v>1</v>
      </c>
      <c r="G103" s="641">
        <v>1</v>
      </c>
      <c r="H103" s="641">
        <v>1</v>
      </c>
      <c r="I103" s="641">
        <v>1</v>
      </c>
      <c r="J103" s="641">
        <v>1</v>
      </c>
      <c r="K103" s="641">
        <v>1</v>
      </c>
      <c r="L103" s="641"/>
      <c r="M103" s="641">
        <v>1</v>
      </c>
      <c r="N103" s="641">
        <v>1</v>
      </c>
      <c r="O103" s="641">
        <v>1</v>
      </c>
      <c r="P103" s="641"/>
      <c r="Q103" s="641"/>
      <c r="R103" s="641"/>
      <c r="S103" s="641"/>
      <c r="T103" s="641"/>
      <c r="U103" s="641">
        <v>1</v>
      </c>
      <c r="V103" s="641" t="s">
        <v>484</v>
      </c>
    </row>
    <row r="104" spans="1:22" x14ac:dyDescent="0.2">
      <c r="A104" s="8">
        <v>17000</v>
      </c>
      <c r="B104" s="8" t="s">
        <v>150</v>
      </c>
      <c r="C104" s="8" t="s">
        <v>23</v>
      </c>
      <c r="D104" s="29" t="s">
        <v>3</v>
      </c>
      <c r="E104" s="641">
        <v>1</v>
      </c>
      <c r="F104" s="641">
        <v>1</v>
      </c>
      <c r="G104" s="641">
        <v>1</v>
      </c>
      <c r="H104" s="641">
        <v>1</v>
      </c>
      <c r="I104" s="641">
        <v>1</v>
      </c>
      <c r="J104" s="641">
        <v>1</v>
      </c>
      <c r="K104" s="641">
        <v>1</v>
      </c>
      <c r="L104" s="641">
        <v>1</v>
      </c>
      <c r="M104" s="641">
        <v>1</v>
      </c>
      <c r="N104" s="641">
        <v>1</v>
      </c>
      <c r="O104" s="641">
        <v>1</v>
      </c>
      <c r="P104" s="641">
        <v>1</v>
      </c>
      <c r="Q104" s="641"/>
      <c r="R104" s="641"/>
      <c r="S104" s="641"/>
      <c r="T104" s="641"/>
      <c r="U104" s="641"/>
      <c r="V104" s="641"/>
    </row>
    <row r="105" spans="1:22" x14ac:dyDescent="0.2">
      <c r="A105" s="8">
        <v>17040</v>
      </c>
      <c r="B105" s="8" t="s">
        <v>151</v>
      </c>
      <c r="C105" s="8" t="s">
        <v>67</v>
      </c>
      <c r="D105" s="29" t="s">
        <v>1</v>
      </c>
      <c r="E105" s="641">
        <v>1</v>
      </c>
      <c r="F105" s="641">
        <v>1</v>
      </c>
      <c r="G105" s="641">
        <v>1</v>
      </c>
      <c r="H105" s="641">
        <v>1</v>
      </c>
      <c r="I105" s="641">
        <v>1</v>
      </c>
      <c r="J105" s="641">
        <v>1</v>
      </c>
      <c r="K105" s="641">
        <v>1</v>
      </c>
      <c r="L105" s="641"/>
      <c r="M105" s="641">
        <v>1</v>
      </c>
      <c r="N105" s="641"/>
      <c r="O105" s="641"/>
      <c r="P105" s="641">
        <v>1</v>
      </c>
      <c r="Q105" s="641"/>
      <c r="R105" s="641"/>
      <c r="S105" s="641"/>
      <c r="T105" s="641"/>
      <c r="U105" s="641"/>
      <c r="V105" s="641"/>
    </row>
    <row r="106" spans="1:22" x14ac:dyDescent="0.2">
      <c r="A106" s="8">
        <v>17080</v>
      </c>
      <c r="B106" s="8" t="s">
        <v>152</v>
      </c>
      <c r="C106" s="8" t="s">
        <v>67</v>
      </c>
      <c r="D106" s="29" t="s">
        <v>1</v>
      </c>
      <c r="E106" s="641">
        <v>1</v>
      </c>
      <c r="F106" s="641">
        <v>1</v>
      </c>
      <c r="G106" s="641">
        <v>1</v>
      </c>
      <c r="H106" s="641">
        <v>1</v>
      </c>
      <c r="I106" s="641">
        <v>1</v>
      </c>
      <c r="J106" s="641">
        <v>1</v>
      </c>
      <c r="K106" s="641">
        <v>1</v>
      </c>
      <c r="L106" s="641">
        <v>1</v>
      </c>
      <c r="M106" s="641">
        <v>1</v>
      </c>
      <c r="N106" s="641">
        <v>1</v>
      </c>
      <c r="O106" s="641">
        <v>1</v>
      </c>
      <c r="P106" s="641">
        <v>1</v>
      </c>
      <c r="Q106" s="641"/>
      <c r="R106" s="641"/>
      <c r="S106" s="641"/>
      <c r="T106" s="641"/>
      <c r="U106" s="641"/>
      <c r="V106" s="641"/>
    </row>
    <row r="107" spans="1:22" x14ac:dyDescent="0.2">
      <c r="A107" s="8">
        <v>17100</v>
      </c>
      <c r="B107" s="8" t="s">
        <v>153</v>
      </c>
      <c r="C107" s="8"/>
      <c r="D107" s="29" t="s">
        <v>2</v>
      </c>
      <c r="E107" s="641">
        <v>1</v>
      </c>
      <c r="F107" s="641">
        <v>1</v>
      </c>
      <c r="G107" s="641"/>
      <c r="H107" s="641">
        <v>1</v>
      </c>
      <c r="I107" s="641">
        <v>1</v>
      </c>
      <c r="J107" s="641">
        <v>1</v>
      </c>
      <c r="K107" s="641">
        <v>1</v>
      </c>
      <c r="L107" s="641">
        <v>1</v>
      </c>
      <c r="M107" s="641">
        <v>1</v>
      </c>
      <c r="N107" s="641">
        <v>1</v>
      </c>
      <c r="O107" s="641">
        <v>1</v>
      </c>
      <c r="P107" s="641">
        <v>1</v>
      </c>
      <c r="Q107" s="641"/>
      <c r="R107" s="641"/>
      <c r="S107" s="641"/>
      <c r="T107" s="641"/>
      <c r="U107" s="641"/>
      <c r="V107" s="641"/>
    </row>
    <row r="108" spans="1:22" x14ac:dyDescent="0.2">
      <c r="A108" s="8">
        <v>17150</v>
      </c>
      <c r="B108" s="8" t="s">
        <v>154</v>
      </c>
      <c r="C108" s="8" t="s">
        <v>17</v>
      </c>
      <c r="D108" s="29" t="s">
        <v>2</v>
      </c>
      <c r="E108" s="641">
        <v>1</v>
      </c>
      <c r="F108" s="641">
        <v>1</v>
      </c>
      <c r="G108" s="641"/>
      <c r="H108" s="641">
        <v>1</v>
      </c>
      <c r="I108" s="641">
        <v>1</v>
      </c>
      <c r="J108" s="641">
        <v>1</v>
      </c>
      <c r="K108" s="641">
        <v>1</v>
      </c>
      <c r="L108" s="641"/>
      <c r="M108" s="641"/>
      <c r="N108" s="641"/>
      <c r="O108" s="641"/>
      <c r="P108" s="641"/>
      <c r="Q108" s="641"/>
      <c r="R108" s="641"/>
      <c r="S108" s="641"/>
      <c r="T108" s="641"/>
      <c r="U108" s="641"/>
      <c r="V108" s="641"/>
    </row>
    <row r="109" spans="1:22" x14ac:dyDescent="0.2">
      <c r="A109" s="8">
        <v>17200</v>
      </c>
      <c r="B109" s="8" t="s">
        <v>61</v>
      </c>
      <c r="C109" s="8" t="s">
        <v>17</v>
      </c>
      <c r="D109" s="29" t="s">
        <v>2</v>
      </c>
      <c r="E109" s="641">
        <v>1</v>
      </c>
      <c r="F109" s="641">
        <v>1</v>
      </c>
      <c r="G109" s="641">
        <v>1</v>
      </c>
      <c r="H109" s="641">
        <v>1</v>
      </c>
      <c r="I109" s="641">
        <v>1</v>
      </c>
      <c r="J109" s="641">
        <v>1</v>
      </c>
      <c r="K109" s="641">
        <v>1</v>
      </c>
      <c r="L109" s="641">
        <v>1</v>
      </c>
      <c r="M109" s="641">
        <v>1</v>
      </c>
      <c r="N109" s="641"/>
      <c r="O109" s="641"/>
      <c r="P109" s="641"/>
      <c r="Q109" s="641"/>
      <c r="R109" s="641"/>
      <c r="S109" s="641"/>
      <c r="T109" s="641"/>
      <c r="U109" s="641"/>
      <c r="V109" s="641"/>
    </row>
    <row r="110" spans="1:22" x14ac:dyDescent="0.2">
      <c r="A110" s="8">
        <v>17310</v>
      </c>
      <c r="B110" s="8" t="s">
        <v>155</v>
      </c>
      <c r="C110" s="8" t="s">
        <v>16</v>
      </c>
      <c r="D110" s="29" t="s">
        <v>1</v>
      </c>
      <c r="E110" s="641">
        <v>1</v>
      </c>
      <c r="F110" s="641">
        <v>1</v>
      </c>
      <c r="G110" s="641">
        <v>1</v>
      </c>
      <c r="H110" s="641">
        <v>1</v>
      </c>
      <c r="I110" s="641">
        <v>1</v>
      </c>
      <c r="J110" s="641">
        <v>1</v>
      </c>
      <c r="K110" s="641">
        <v>1</v>
      </c>
      <c r="L110" s="641">
        <v>1</v>
      </c>
      <c r="M110" s="641">
        <v>1</v>
      </c>
      <c r="N110" s="641"/>
      <c r="O110" s="641"/>
      <c r="P110" s="641"/>
      <c r="Q110" s="641">
        <v>1</v>
      </c>
      <c r="R110" s="641"/>
      <c r="S110" s="641"/>
      <c r="T110" s="641"/>
      <c r="U110" s="641"/>
      <c r="V110" s="641"/>
    </row>
    <row r="111" spans="1:22" x14ac:dyDescent="0.2">
      <c r="A111" s="8">
        <v>17350</v>
      </c>
      <c r="B111" s="8" t="s">
        <v>156</v>
      </c>
      <c r="C111" s="8" t="s">
        <v>21</v>
      </c>
      <c r="D111" s="29" t="s">
        <v>1</v>
      </c>
      <c r="E111" s="641"/>
      <c r="F111" s="641"/>
      <c r="G111" s="641"/>
      <c r="H111" s="641"/>
      <c r="I111" s="641"/>
      <c r="J111" s="641"/>
      <c r="K111" s="641"/>
      <c r="L111" s="641"/>
      <c r="M111" s="641"/>
      <c r="N111" s="641"/>
      <c r="O111" s="641"/>
      <c r="P111" s="641"/>
      <c r="Q111" s="641"/>
      <c r="R111" s="641"/>
      <c r="S111" s="641"/>
      <c r="T111" s="641"/>
      <c r="U111" s="641"/>
      <c r="V111" s="641"/>
    </row>
    <row r="112" spans="1:22" x14ac:dyDescent="0.2">
      <c r="A112" s="8">
        <v>17400</v>
      </c>
      <c r="B112" s="8" t="s">
        <v>157</v>
      </c>
      <c r="C112" s="8" t="s">
        <v>16</v>
      </c>
      <c r="D112" s="29" t="s">
        <v>1</v>
      </c>
      <c r="E112" s="641">
        <v>1</v>
      </c>
      <c r="F112" s="641">
        <v>1</v>
      </c>
      <c r="G112" s="641">
        <v>1</v>
      </c>
      <c r="H112" s="641">
        <v>1</v>
      </c>
      <c r="I112" s="641">
        <v>1</v>
      </c>
      <c r="J112" s="641">
        <v>1</v>
      </c>
      <c r="K112" s="641">
        <v>1</v>
      </c>
      <c r="L112" s="641">
        <v>1</v>
      </c>
      <c r="M112" s="641">
        <v>1</v>
      </c>
      <c r="N112" s="641">
        <v>1</v>
      </c>
      <c r="O112" s="641"/>
      <c r="P112" s="641"/>
      <c r="Q112" s="641"/>
      <c r="R112" s="641"/>
      <c r="S112" s="641"/>
      <c r="T112" s="641"/>
      <c r="U112" s="641"/>
      <c r="V112" s="641"/>
    </row>
    <row r="113" spans="1:22" x14ac:dyDescent="0.2">
      <c r="A113" s="8">
        <v>17420</v>
      </c>
      <c r="B113" s="8" t="s">
        <v>158</v>
      </c>
      <c r="C113" s="8" t="s">
        <v>18</v>
      </c>
      <c r="D113" s="29" t="s">
        <v>2</v>
      </c>
      <c r="E113" s="641">
        <v>1</v>
      </c>
      <c r="F113" s="641">
        <v>1</v>
      </c>
      <c r="G113" s="641">
        <v>1</v>
      </c>
      <c r="H113" s="641">
        <v>1</v>
      </c>
      <c r="I113" s="641">
        <v>1</v>
      </c>
      <c r="J113" s="641">
        <v>1</v>
      </c>
      <c r="K113" s="641">
        <v>1</v>
      </c>
      <c r="L113" s="641">
        <v>1</v>
      </c>
      <c r="M113" s="641">
        <v>1</v>
      </c>
      <c r="N113" s="641">
        <v>1</v>
      </c>
      <c r="O113" s="641">
        <v>1</v>
      </c>
      <c r="P113" s="641"/>
      <c r="Q113" s="641"/>
      <c r="R113" s="641"/>
      <c r="S113" s="641"/>
      <c r="T113" s="641"/>
      <c r="U113" s="641"/>
      <c r="V113" s="641"/>
    </row>
    <row r="114" spans="1:22" x14ac:dyDescent="0.2">
      <c r="A114" s="8">
        <v>17550</v>
      </c>
      <c r="B114" s="8" t="s">
        <v>159</v>
      </c>
      <c r="C114" s="8" t="s">
        <v>19</v>
      </c>
      <c r="D114" s="29" t="s">
        <v>3</v>
      </c>
      <c r="E114" s="641">
        <v>1</v>
      </c>
      <c r="F114" s="641">
        <v>1</v>
      </c>
      <c r="G114" s="641">
        <v>1</v>
      </c>
      <c r="H114" s="641">
        <v>1</v>
      </c>
      <c r="I114" s="641">
        <v>1</v>
      </c>
      <c r="J114" s="641">
        <v>1</v>
      </c>
      <c r="K114" s="641">
        <v>1</v>
      </c>
      <c r="L114" s="641">
        <v>1</v>
      </c>
      <c r="M114" s="641">
        <v>1</v>
      </c>
      <c r="N114" s="641"/>
      <c r="O114" s="641">
        <v>1</v>
      </c>
      <c r="P114" s="641"/>
      <c r="Q114" s="641"/>
      <c r="R114" s="641"/>
      <c r="S114" s="641"/>
      <c r="T114" s="641"/>
      <c r="U114" s="641"/>
      <c r="V114" s="641"/>
    </row>
    <row r="115" spans="1:22" x14ac:dyDescent="0.2">
      <c r="A115" s="8">
        <v>17620</v>
      </c>
      <c r="B115" s="8" t="s">
        <v>160</v>
      </c>
      <c r="C115" s="8" t="s">
        <v>23</v>
      </c>
      <c r="D115" s="29" t="s">
        <v>3</v>
      </c>
      <c r="E115" s="641">
        <v>1</v>
      </c>
      <c r="F115" s="641">
        <v>1</v>
      </c>
      <c r="G115" s="641">
        <v>1</v>
      </c>
      <c r="H115" s="641">
        <v>1</v>
      </c>
      <c r="I115" s="641">
        <v>1</v>
      </c>
      <c r="J115" s="641">
        <v>1</v>
      </c>
      <c r="K115" s="641">
        <v>1</v>
      </c>
      <c r="L115" s="641">
        <v>1</v>
      </c>
      <c r="M115" s="641">
        <v>1</v>
      </c>
      <c r="N115" s="641"/>
      <c r="O115" s="641">
        <v>1</v>
      </c>
      <c r="P115" s="641">
        <v>1</v>
      </c>
      <c r="Q115" s="641"/>
      <c r="R115" s="641"/>
      <c r="S115" s="641"/>
      <c r="T115" s="641"/>
      <c r="U115" s="641"/>
      <c r="V115" s="641"/>
    </row>
    <row r="116" spans="1:22" x14ac:dyDescent="0.2">
      <c r="A116" s="8">
        <v>17640</v>
      </c>
      <c r="B116" s="8" t="s">
        <v>161</v>
      </c>
      <c r="C116" s="8" t="s">
        <v>67</v>
      </c>
      <c r="D116" s="29" t="s">
        <v>1</v>
      </c>
      <c r="E116" s="641">
        <v>1</v>
      </c>
      <c r="F116" s="641">
        <v>1</v>
      </c>
      <c r="G116" s="641">
        <v>1</v>
      </c>
      <c r="H116" s="641">
        <v>1</v>
      </c>
      <c r="I116" s="641">
        <v>1</v>
      </c>
      <c r="J116" s="641">
        <v>1</v>
      </c>
      <c r="K116" s="641">
        <v>1</v>
      </c>
      <c r="L116" s="641">
        <v>1</v>
      </c>
      <c r="M116" s="641">
        <v>1</v>
      </c>
      <c r="N116" s="641">
        <v>1</v>
      </c>
      <c r="O116" s="641">
        <v>1</v>
      </c>
      <c r="P116" s="641"/>
      <c r="Q116" s="641"/>
      <c r="R116" s="641"/>
      <c r="S116" s="641"/>
      <c r="T116" s="641"/>
      <c r="U116" s="641"/>
      <c r="V116" s="641"/>
    </row>
    <row r="117" spans="1:22" x14ac:dyDescent="0.2">
      <c r="A117" s="8">
        <v>17650</v>
      </c>
      <c r="B117" s="8" t="s">
        <v>162</v>
      </c>
      <c r="C117" s="8" t="s">
        <v>16</v>
      </c>
      <c r="D117" s="29" t="s">
        <v>1</v>
      </c>
      <c r="E117" s="641">
        <v>1</v>
      </c>
      <c r="F117" s="641">
        <v>1</v>
      </c>
      <c r="G117" s="641">
        <v>1</v>
      </c>
      <c r="H117" s="641">
        <v>1</v>
      </c>
      <c r="I117" s="641">
        <v>1</v>
      </c>
      <c r="J117" s="641">
        <v>1</v>
      </c>
      <c r="K117" s="641">
        <v>1</v>
      </c>
      <c r="L117" s="641">
        <v>1</v>
      </c>
      <c r="M117" s="641">
        <v>1</v>
      </c>
      <c r="N117" s="641"/>
      <c r="O117" s="641"/>
      <c r="P117" s="641"/>
      <c r="Q117" s="641"/>
      <c r="R117" s="641"/>
      <c r="S117" s="641"/>
      <c r="T117" s="641"/>
      <c r="U117" s="641"/>
      <c r="V117" s="641"/>
    </row>
    <row r="118" spans="1:22" x14ac:dyDescent="0.2">
      <c r="A118" s="8">
        <v>17750</v>
      </c>
      <c r="B118" s="8" t="s">
        <v>163</v>
      </c>
      <c r="C118" s="8" t="s">
        <v>21</v>
      </c>
      <c r="D118" s="29" t="s">
        <v>1</v>
      </c>
      <c r="E118" s="641">
        <v>1</v>
      </c>
      <c r="F118" s="641">
        <v>1</v>
      </c>
      <c r="G118" s="641">
        <v>1</v>
      </c>
      <c r="H118" s="641">
        <v>1</v>
      </c>
      <c r="I118" s="641">
        <v>1</v>
      </c>
      <c r="J118" s="641">
        <v>1</v>
      </c>
      <c r="K118" s="641">
        <v>1</v>
      </c>
      <c r="L118" s="641">
        <v>1</v>
      </c>
      <c r="M118" s="641">
        <v>1</v>
      </c>
      <c r="N118" s="641">
        <v>1</v>
      </c>
      <c r="O118" s="641">
        <v>1</v>
      </c>
      <c r="P118" s="641"/>
      <c r="Q118" s="641"/>
      <c r="R118" s="641"/>
      <c r="S118" s="641"/>
      <c r="T118" s="641"/>
      <c r="U118" s="641"/>
      <c r="V118" s="641"/>
    </row>
    <row r="119" spans="1:22" x14ac:dyDescent="0.2">
      <c r="A119" s="8">
        <v>17850</v>
      </c>
      <c r="B119" s="8" t="s">
        <v>164</v>
      </c>
      <c r="C119" s="8" t="s">
        <v>16</v>
      </c>
      <c r="D119" s="29" t="s">
        <v>1</v>
      </c>
      <c r="E119" s="641">
        <v>1</v>
      </c>
      <c r="F119" s="641">
        <v>1</v>
      </c>
      <c r="G119" s="641"/>
      <c r="H119" s="641">
        <v>1</v>
      </c>
      <c r="I119" s="641">
        <v>1</v>
      </c>
      <c r="J119" s="641">
        <v>1</v>
      </c>
      <c r="K119" s="641">
        <v>1</v>
      </c>
      <c r="L119" s="641">
        <v>1</v>
      </c>
      <c r="M119" s="641">
        <v>1</v>
      </c>
      <c r="N119" s="641">
        <v>1</v>
      </c>
      <c r="O119" s="641">
        <v>1</v>
      </c>
      <c r="P119" s="641"/>
      <c r="Q119" s="641"/>
      <c r="R119" s="641">
        <v>1</v>
      </c>
      <c r="S119" s="641">
        <v>1</v>
      </c>
      <c r="T119" s="641"/>
      <c r="U119" s="641"/>
      <c r="V119" s="641"/>
    </row>
    <row r="120" spans="1:22" x14ac:dyDescent="0.2">
      <c r="A120" s="8">
        <v>17900</v>
      </c>
      <c r="B120" s="8" t="s">
        <v>165</v>
      </c>
      <c r="C120" s="8" t="s">
        <v>38</v>
      </c>
      <c r="D120" s="29" t="s">
        <v>1</v>
      </c>
      <c r="E120" s="641"/>
      <c r="F120" s="641"/>
      <c r="G120" s="641"/>
      <c r="H120" s="641"/>
      <c r="I120" s="641"/>
      <c r="J120" s="641"/>
      <c r="K120" s="641"/>
      <c r="L120" s="641"/>
      <c r="M120" s="641"/>
      <c r="N120" s="641"/>
      <c r="O120" s="641"/>
      <c r="P120" s="641"/>
      <c r="Q120" s="641"/>
      <c r="R120" s="641"/>
      <c r="S120" s="641"/>
      <c r="T120" s="641"/>
      <c r="U120" s="641"/>
      <c r="V120" s="641"/>
    </row>
    <row r="121" spans="1:22" x14ac:dyDescent="0.2">
      <c r="A121" s="8">
        <v>17950</v>
      </c>
      <c r="B121" s="8" t="s">
        <v>166</v>
      </c>
      <c r="C121" s="8" t="s">
        <v>38</v>
      </c>
      <c r="D121" s="29" t="s">
        <v>1</v>
      </c>
      <c r="E121" s="641"/>
      <c r="F121" s="641"/>
      <c r="G121" s="641"/>
      <c r="H121" s="641"/>
      <c r="I121" s="641"/>
      <c r="J121" s="641"/>
      <c r="K121" s="641"/>
      <c r="L121" s="641"/>
      <c r="M121" s="641"/>
      <c r="N121" s="641"/>
      <c r="O121" s="641"/>
      <c r="P121" s="641"/>
      <c r="Q121" s="641"/>
      <c r="R121" s="641"/>
      <c r="S121" s="641"/>
      <c r="T121" s="641"/>
      <c r="U121" s="641"/>
      <c r="V121" s="641"/>
    </row>
    <row r="122" spans="1:22" x14ac:dyDescent="0.2">
      <c r="A122" s="8">
        <v>18020</v>
      </c>
      <c r="B122" s="8" t="s">
        <v>167</v>
      </c>
      <c r="C122" s="8" t="s">
        <v>38</v>
      </c>
      <c r="D122" s="29" t="s">
        <v>1</v>
      </c>
      <c r="E122" s="641">
        <v>1</v>
      </c>
      <c r="F122" s="641">
        <v>1</v>
      </c>
      <c r="G122" s="641">
        <v>1</v>
      </c>
      <c r="H122" s="641">
        <v>1</v>
      </c>
      <c r="I122" s="641">
        <v>1</v>
      </c>
      <c r="J122" s="641">
        <v>1</v>
      </c>
      <c r="K122" s="641">
        <v>1</v>
      </c>
      <c r="L122" s="641"/>
      <c r="M122" s="641"/>
      <c r="N122" s="641"/>
      <c r="O122" s="641"/>
      <c r="P122" s="641"/>
      <c r="Q122" s="641"/>
      <c r="R122" s="641">
        <v>1</v>
      </c>
      <c r="S122" s="641">
        <v>1</v>
      </c>
      <c r="T122" s="641"/>
      <c r="U122" s="641"/>
      <c r="V122" s="641"/>
    </row>
    <row r="123" spans="1:22" x14ac:dyDescent="0.2">
      <c r="A123" s="8">
        <v>18050</v>
      </c>
      <c r="B123" s="8" t="s">
        <v>62</v>
      </c>
      <c r="C123" s="8" t="s">
        <v>17</v>
      </c>
      <c r="D123" s="29" t="s">
        <v>2</v>
      </c>
      <c r="E123" s="641">
        <v>1</v>
      </c>
      <c r="F123" s="641">
        <v>1</v>
      </c>
      <c r="G123" s="641">
        <v>1</v>
      </c>
      <c r="H123" s="641">
        <v>1</v>
      </c>
      <c r="I123" s="641">
        <v>1</v>
      </c>
      <c r="J123" s="641">
        <v>1</v>
      </c>
      <c r="K123" s="641">
        <v>1</v>
      </c>
      <c r="L123" s="641">
        <v>1</v>
      </c>
      <c r="M123" s="641">
        <v>1</v>
      </c>
      <c r="N123" s="641">
        <v>1</v>
      </c>
      <c r="O123" s="641">
        <v>1</v>
      </c>
      <c r="P123" s="641"/>
      <c r="Q123" s="641"/>
      <c r="R123" s="641"/>
      <c r="S123" s="641"/>
      <c r="T123" s="641"/>
      <c r="U123" s="641"/>
      <c r="V123" s="641"/>
    </row>
    <row r="124" spans="1:22" x14ac:dyDescent="0.2">
      <c r="A124" s="8">
        <v>18100</v>
      </c>
      <c r="B124" s="8" t="s">
        <v>168</v>
      </c>
      <c r="C124" s="8" t="s">
        <v>38</v>
      </c>
      <c r="D124" s="29" t="s">
        <v>1</v>
      </c>
      <c r="E124" s="641">
        <v>1</v>
      </c>
      <c r="F124" s="641">
        <v>1</v>
      </c>
      <c r="G124" s="641"/>
      <c r="H124" s="641">
        <v>1</v>
      </c>
      <c r="I124" s="641">
        <v>1</v>
      </c>
      <c r="J124" s="641">
        <v>1</v>
      </c>
      <c r="K124" s="641">
        <v>1</v>
      </c>
      <c r="L124" s="641">
        <v>1</v>
      </c>
      <c r="M124" s="641">
        <v>1</v>
      </c>
      <c r="N124" s="641">
        <v>1</v>
      </c>
      <c r="O124" s="641">
        <v>1</v>
      </c>
      <c r="P124" s="641">
        <v>1</v>
      </c>
      <c r="Q124" s="641"/>
      <c r="R124" s="641"/>
      <c r="S124" s="641"/>
      <c r="T124" s="641"/>
      <c r="U124" s="641"/>
      <c r="V124" s="641"/>
    </row>
    <row r="125" spans="1:22" x14ac:dyDescent="0.2">
      <c r="A125" s="8">
        <v>18200</v>
      </c>
      <c r="B125" s="8" t="s">
        <v>169</v>
      </c>
      <c r="C125" s="8" t="s">
        <v>66</v>
      </c>
      <c r="D125" s="29" t="s">
        <v>1</v>
      </c>
      <c r="E125" s="641"/>
      <c r="F125" s="641"/>
      <c r="G125" s="641"/>
      <c r="H125" s="641"/>
      <c r="I125" s="641"/>
      <c r="J125" s="641"/>
      <c r="K125" s="641"/>
      <c r="L125" s="641"/>
      <c r="M125" s="641"/>
      <c r="N125" s="641"/>
      <c r="O125" s="641"/>
      <c r="P125" s="641"/>
      <c r="Q125" s="641"/>
      <c r="R125" s="641"/>
      <c r="S125" s="641"/>
      <c r="T125" s="641"/>
      <c r="U125" s="641"/>
      <c r="V125" s="641"/>
    </row>
    <row r="126" spans="1:22" x14ac:dyDescent="0.2">
      <c r="A126" s="8">
        <v>18250</v>
      </c>
      <c r="B126" s="8" t="s">
        <v>63</v>
      </c>
      <c r="C126" s="8" t="s">
        <v>24</v>
      </c>
      <c r="D126" s="29" t="s">
        <v>2</v>
      </c>
      <c r="E126" s="641">
        <v>1</v>
      </c>
      <c r="F126" s="641">
        <v>1</v>
      </c>
      <c r="G126" s="641">
        <v>1</v>
      </c>
      <c r="H126" s="641">
        <v>1</v>
      </c>
      <c r="I126" s="641">
        <v>1</v>
      </c>
      <c r="J126" s="641">
        <v>1</v>
      </c>
      <c r="K126" s="641">
        <v>1</v>
      </c>
      <c r="L126" s="641">
        <v>1</v>
      </c>
      <c r="M126" s="641">
        <v>1</v>
      </c>
      <c r="N126" s="641">
        <v>1</v>
      </c>
      <c r="O126" s="641">
        <v>1</v>
      </c>
      <c r="P126" s="641"/>
      <c r="Q126" s="641"/>
      <c r="R126" s="641"/>
      <c r="S126" s="641"/>
      <c r="T126" s="641"/>
      <c r="U126" s="641"/>
      <c r="V126" s="641"/>
    </row>
    <row r="127" spans="1:22" x14ac:dyDescent="0.2">
      <c r="A127" s="8">
        <v>18350</v>
      </c>
      <c r="B127" s="8" t="s">
        <v>64</v>
      </c>
      <c r="C127" s="8" t="s">
        <v>67</v>
      </c>
      <c r="D127" s="29" t="s">
        <v>2</v>
      </c>
      <c r="E127" s="641"/>
      <c r="F127" s="641">
        <v>1</v>
      </c>
      <c r="G127" s="641">
        <v>1</v>
      </c>
      <c r="H127" s="641">
        <v>1</v>
      </c>
      <c r="I127" s="641">
        <v>1</v>
      </c>
      <c r="J127" s="641">
        <v>1</v>
      </c>
      <c r="K127" s="641">
        <v>1</v>
      </c>
      <c r="L127" s="641">
        <v>1</v>
      </c>
      <c r="M127" s="641">
        <v>1</v>
      </c>
      <c r="N127" s="641"/>
      <c r="O127" s="641"/>
      <c r="P127" s="641"/>
      <c r="Q127" s="641"/>
      <c r="R127" s="641"/>
      <c r="S127" s="641"/>
      <c r="T127" s="641"/>
      <c r="U127" s="641"/>
      <c r="V127" s="641"/>
    </row>
    <row r="128" spans="1:22" x14ac:dyDescent="0.2">
      <c r="A128" s="8">
        <v>18400</v>
      </c>
      <c r="B128" s="8" t="s">
        <v>170</v>
      </c>
      <c r="C128" s="8" t="s">
        <v>182</v>
      </c>
      <c r="D128" s="29" t="s">
        <v>3</v>
      </c>
      <c r="E128" s="641">
        <v>1</v>
      </c>
      <c r="F128" s="641">
        <v>1</v>
      </c>
      <c r="G128" s="641">
        <v>1</v>
      </c>
      <c r="H128" s="641">
        <v>1</v>
      </c>
      <c r="I128" s="641">
        <v>1</v>
      </c>
      <c r="J128" s="641">
        <v>1</v>
      </c>
      <c r="K128" s="641">
        <v>1</v>
      </c>
      <c r="L128" s="641">
        <v>1</v>
      </c>
      <c r="M128" s="641"/>
      <c r="N128" s="641"/>
      <c r="O128" s="641"/>
      <c r="P128" s="641">
        <v>1</v>
      </c>
      <c r="Q128" s="641"/>
      <c r="R128" s="641"/>
      <c r="S128" s="641"/>
      <c r="T128" s="641"/>
      <c r="U128" s="641"/>
      <c r="V128" s="641"/>
    </row>
    <row r="129" spans="1:24" x14ac:dyDescent="0.2">
      <c r="A129" s="8">
        <v>18450</v>
      </c>
      <c r="B129" s="8" t="s">
        <v>171</v>
      </c>
      <c r="C129" s="8" t="s">
        <v>37</v>
      </c>
      <c r="D129" s="29" t="s">
        <v>2</v>
      </c>
      <c r="E129" s="641">
        <v>1</v>
      </c>
      <c r="F129" s="641">
        <v>1</v>
      </c>
      <c r="G129" s="641">
        <v>1</v>
      </c>
      <c r="H129" s="641">
        <v>1</v>
      </c>
      <c r="I129" s="641">
        <v>1</v>
      </c>
      <c r="J129" s="641">
        <v>1</v>
      </c>
      <c r="K129" s="641">
        <v>1</v>
      </c>
      <c r="L129" s="641">
        <v>1</v>
      </c>
      <c r="M129" s="641">
        <v>1</v>
      </c>
      <c r="N129" s="641"/>
      <c r="O129" s="641">
        <v>1</v>
      </c>
      <c r="P129" s="641"/>
      <c r="Q129" s="641"/>
      <c r="R129" s="641"/>
      <c r="S129" s="641"/>
      <c r="T129" s="641"/>
      <c r="U129" s="641"/>
      <c r="V129" s="641"/>
    </row>
    <row r="130" spans="1:24" x14ac:dyDescent="0.2">
      <c r="A130" s="8">
        <v>18500</v>
      </c>
      <c r="B130" s="8" t="s">
        <v>65</v>
      </c>
      <c r="C130" s="8" t="s">
        <v>17</v>
      </c>
      <c r="D130" s="29" t="s">
        <v>2</v>
      </c>
      <c r="E130" s="641">
        <v>1</v>
      </c>
      <c r="F130" s="641">
        <v>1</v>
      </c>
      <c r="G130" s="641">
        <v>1</v>
      </c>
      <c r="H130" s="641">
        <v>1</v>
      </c>
      <c r="I130" s="641">
        <v>1</v>
      </c>
      <c r="J130" s="641">
        <v>1</v>
      </c>
      <c r="K130" s="641">
        <v>1</v>
      </c>
      <c r="L130" s="641">
        <v>1</v>
      </c>
      <c r="M130" s="641">
        <v>1</v>
      </c>
      <c r="N130" s="641">
        <v>1</v>
      </c>
      <c r="O130" s="641">
        <v>1</v>
      </c>
      <c r="P130" s="641"/>
      <c r="Q130" s="641"/>
      <c r="R130" s="641"/>
      <c r="S130" s="641"/>
      <c r="T130" s="641"/>
      <c r="U130" s="641"/>
      <c r="V130" s="641"/>
    </row>
    <row r="131" spans="1:24" x14ac:dyDescent="0.2">
      <c r="A131" s="8">
        <v>18710</v>
      </c>
      <c r="B131" s="8" t="s">
        <v>172</v>
      </c>
      <c r="C131" s="8" t="s">
        <v>67</v>
      </c>
      <c r="D131" s="29" t="s">
        <v>1</v>
      </c>
      <c r="E131" s="641">
        <v>1</v>
      </c>
      <c r="F131" s="641">
        <v>1</v>
      </c>
      <c r="G131" s="641"/>
      <c r="H131" s="641">
        <v>1</v>
      </c>
      <c r="I131" s="641">
        <v>1</v>
      </c>
      <c r="J131" s="641">
        <v>1</v>
      </c>
      <c r="K131" s="641">
        <v>1</v>
      </c>
      <c r="L131" s="641"/>
      <c r="M131" s="641"/>
      <c r="N131" s="641"/>
      <c r="O131" s="641"/>
      <c r="P131" s="641"/>
      <c r="Q131" s="641"/>
      <c r="R131" s="641"/>
      <c r="S131" s="641"/>
      <c r="T131" s="641"/>
      <c r="U131" s="641"/>
      <c r="V131" s="641"/>
    </row>
    <row r="133" spans="1:24" x14ac:dyDescent="0.2">
      <c r="B133" s="273" t="s">
        <v>275</v>
      </c>
      <c r="E133" s="273">
        <f>SUM(E4:E131)</f>
        <v>111</v>
      </c>
      <c r="F133" s="273">
        <f t="shared" ref="F133:U133" si="0">SUM(F4:F131)</f>
        <v>112</v>
      </c>
      <c r="G133" s="273">
        <f t="shared" si="0"/>
        <v>87</v>
      </c>
      <c r="H133" s="273">
        <f t="shared" si="0"/>
        <v>111</v>
      </c>
      <c r="I133" s="273">
        <f t="shared" si="0"/>
        <v>112</v>
      </c>
      <c r="J133" s="273">
        <f t="shared" si="0"/>
        <v>112</v>
      </c>
      <c r="K133" s="273">
        <f t="shared" si="0"/>
        <v>108</v>
      </c>
      <c r="L133" s="273">
        <f t="shared" si="0"/>
        <v>84</v>
      </c>
      <c r="M133" s="273">
        <f t="shared" si="0"/>
        <v>89</v>
      </c>
      <c r="N133" s="273">
        <f t="shared" si="0"/>
        <v>64</v>
      </c>
      <c r="O133" s="273">
        <f t="shared" si="0"/>
        <v>70</v>
      </c>
      <c r="P133" s="273">
        <f t="shared" si="0"/>
        <v>28</v>
      </c>
      <c r="Q133" s="273">
        <f t="shared" si="0"/>
        <v>6</v>
      </c>
      <c r="R133" s="273">
        <f t="shared" si="0"/>
        <v>3</v>
      </c>
      <c r="S133" s="273">
        <f t="shared" si="0"/>
        <v>3</v>
      </c>
      <c r="T133" s="273">
        <f t="shared" si="0"/>
        <v>0</v>
      </c>
      <c r="U133" s="273">
        <f t="shared" si="0"/>
        <v>5</v>
      </c>
    </row>
    <row r="135" spans="1:24" x14ac:dyDescent="0.2">
      <c r="A135" s="274">
        <v>42</v>
      </c>
      <c r="C135" s="275" t="s">
        <v>458</v>
      </c>
      <c r="D135" s="275"/>
      <c r="E135" s="276">
        <f>SUMIF($D$4:$D$131,"S",E$4:E$131)</f>
        <v>41</v>
      </c>
      <c r="F135" s="276">
        <f t="shared" ref="F135:U135" si="1">SUMIF($D$4:$D$131,"S",F$4:F$131)</f>
        <v>42</v>
      </c>
      <c r="G135" s="276">
        <f t="shared" si="1"/>
        <v>36</v>
      </c>
      <c r="H135" s="276">
        <f t="shared" si="1"/>
        <v>42</v>
      </c>
      <c r="I135" s="276">
        <f t="shared" si="1"/>
        <v>42</v>
      </c>
      <c r="J135" s="276">
        <f t="shared" si="1"/>
        <v>42</v>
      </c>
      <c r="K135" s="276">
        <f t="shared" si="1"/>
        <v>40</v>
      </c>
      <c r="L135" s="276">
        <f t="shared" si="1"/>
        <v>37</v>
      </c>
      <c r="M135" s="276">
        <f t="shared" si="1"/>
        <v>38</v>
      </c>
      <c r="N135" s="276">
        <f t="shared" si="1"/>
        <v>31</v>
      </c>
      <c r="O135" s="276">
        <f t="shared" si="1"/>
        <v>33</v>
      </c>
      <c r="P135" s="276">
        <f t="shared" si="1"/>
        <v>6</v>
      </c>
      <c r="Q135" s="276">
        <f t="shared" si="1"/>
        <v>2</v>
      </c>
      <c r="R135" s="276">
        <f t="shared" si="1"/>
        <v>0</v>
      </c>
      <c r="S135" s="276">
        <f t="shared" si="1"/>
        <v>0</v>
      </c>
      <c r="T135" s="276">
        <f t="shared" si="1"/>
        <v>0</v>
      </c>
      <c r="U135" s="276">
        <f t="shared" si="1"/>
        <v>2</v>
      </c>
      <c r="V135" s="642"/>
      <c r="W135" s="642"/>
      <c r="X135" s="642"/>
    </row>
    <row r="136" spans="1:24" x14ac:dyDescent="0.2">
      <c r="A136" s="274">
        <v>19</v>
      </c>
      <c r="C136" s="275" t="s">
        <v>460</v>
      </c>
      <c r="D136" s="275"/>
      <c r="E136" s="276">
        <f>SUMIF($D$4:$D$131,"R",E$4:E$131)</f>
        <v>19</v>
      </c>
      <c r="F136" s="276">
        <f t="shared" ref="F136:U136" si="2">SUMIF($D$4:$D$131,"R",F$4:F$131)</f>
        <v>19</v>
      </c>
      <c r="G136" s="276">
        <f t="shared" si="2"/>
        <v>15</v>
      </c>
      <c r="H136" s="276">
        <f t="shared" si="2"/>
        <v>19</v>
      </c>
      <c r="I136" s="276">
        <f t="shared" si="2"/>
        <v>19</v>
      </c>
      <c r="J136" s="276">
        <f t="shared" si="2"/>
        <v>19</v>
      </c>
      <c r="K136" s="276">
        <f t="shared" si="2"/>
        <v>18</v>
      </c>
      <c r="L136" s="276">
        <f t="shared" si="2"/>
        <v>14</v>
      </c>
      <c r="M136" s="276">
        <f t="shared" si="2"/>
        <v>15</v>
      </c>
      <c r="N136" s="276">
        <f t="shared" si="2"/>
        <v>9</v>
      </c>
      <c r="O136" s="276">
        <f t="shared" si="2"/>
        <v>11</v>
      </c>
      <c r="P136" s="276">
        <f t="shared" si="2"/>
        <v>8</v>
      </c>
      <c r="Q136" s="276">
        <f t="shared" si="2"/>
        <v>0</v>
      </c>
      <c r="R136" s="276">
        <f t="shared" si="2"/>
        <v>0</v>
      </c>
      <c r="S136" s="276">
        <f t="shared" si="2"/>
        <v>0</v>
      </c>
      <c r="T136" s="276">
        <f t="shared" si="2"/>
        <v>0</v>
      </c>
      <c r="U136" s="276">
        <f t="shared" si="2"/>
        <v>1</v>
      </c>
      <c r="V136" s="642"/>
      <c r="W136" s="642"/>
      <c r="X136" s="642"/>
    </row>
    <row r="137" spans="1:24" x14ac:dyDescent="0.2">
      <c r="A137" s="274">
        <v>67</v>
      </c>
      <c r="C137" s="275" t="s">
        <v>463</v>
      </c>
      <c r="D137" s="275"/>
      <c r="E137" s="276">
        <f>SUMIF($D$4:$D$131,"N",E$4:E$131)</f>
        <v>51</v>
      </c>
      <c r="F137" s="276">
        <f t="shared" ref="F137:U137" si="3">SUMIF($D$4:$D$131,"N",F$4:F$131)</f>
        <v>51</v>
      </c>
      <c r="G137" s="276">
        <f t="shared" si="3"/>
        <v>36</v>
      </c>
      <c r="H137" s="276">
        <f t="shared" si="3"/>
        <v>50</v>
      </c>
      <c r="I137" s="276">
        <f t="shared" si="3"/>
        <v>51</v>
      </c>
      <c r="J137" s="276">
        <f t="shared" si="3"/>
        <v>51</v>
      </c>
      <c r="K137" s="276">
        <f t="shared" si="3"/>
        <v>50</v>
      </c>
      <c r="L137" s="276">
        <f t="shared" si="3"/>
        <v>33</v>
      </c>
      <c r="M137" s="276">
        <f t="shared" si="3"/>
        <v>36</v>
      </c>
      <c r="N137" s="276">
        <f t="shared" si="3"/>
        <v>24</v>
      </c>
      <c r="O137" s="276">
        <f t="shared" si="3"/>
        <v>26</v>
      </c>
      <c r="P137" s="276">
        <f t="shared" si="3"/>
        <v>14</v>
      </c>
      <c r="Q137" s="276">
        <f t="shared" si="3"/>
        <v>4</v>
      </c>
      <c r="R137" s="276">
        <f t="shared" si="3"/>
        <v>3</v>
      </c>
      <c r="S137" s="276">
        <f t="shared" si="3"/>
        <v>3</v>
      </c>
      <c r="T137" s="276">
        <f t="shared" si="3"/>
        <v>0</v>
      </c>
      <c r="U137" s="276">
        <f t="shared" si="3"/>
        <v>2</v>
      </c>
      <c r="V137" s="642"/>
      <c r="W137" s="642"/>
      <c r="X137" s="642"/>
    </row>
    <row r="138" spans="1:24" x14ac:dyDescent="0.2">
      <c r="A138" s="274">
        <v>128</v>
      </c>
      <c r="C138" s="275" t="s">
        <v>7</v>
      </c>
      <c r="D138" s="62"/>
      <c r="E138" s="63">
        <f t="shared" ref="E138:U138" si="4">SUM(E135:E137)</f>
        <v>111</v>
      </c>
      <c r="F138" s="63">
        <f t="shared" si="4"/>
        <v>112</v>
      </c>
      <c r="G138" s="63">
        <f t="shared" si="4"/>
        <v>87</v>
      </c>
      <c r="H138" s="63">
        <f t="shared" si="4"/>
        <v>111</v>
      </c>
      <c r="I138" s="63">
        <f t="shared" si="4"/>
        <v>112</v>
      </c>
      <c r="J138" s="63">
        <f t="shared" si="4"/>
        <v>112</v>
      </c>
      <c r="K138" s="63">
        <f t="shared" si="4"/>
        <v>108</v>
      </c>
      <c r="L138" s="63">
        <f t="shared" si="4"/>
        <v>84</v>
      </c>
      <c r="M138" s="63">
        <f t="shared" si="4"/>
        <v>89</v>
      </c>
      <c r="N138" s="63">
        <f t="shared" si="4"/>
        <v>64</v>
      </c>
      <c r="O138" s="63">
        <f t="shared" si="4"/>
        <v>70</v>
      </c>
      <c r="P138" s="63">
        <f t="shared" si="4"/>
        <v>28</v>
      </c>
      <c r="Q138" s="63">
        <f t="shared" si="4"/>
        <v>6</v>
      </c>
      <c r="R138" s="63">
        <f t="shared" si="4"/>
        <v>3</v>
      </c>
      <c r="S138" s="63">
        <f t="shared" si="4"/>
        <v>3</v>
      </c>
      <c r="T138" s="63">
        <f t="shared" si="4"/>
        <v>0</v>
      </c>
      <c r="U138" s="63">
        <f t="shared" si="4"/>
        <v>5</v>
      </c>
    </row>
    <row r="140" spans="1:24" x14ac:dyDescent="0.2">
      <c r="C140" s="275" t="s">
        <v>458</v>
      </c>
      <c r="E140" s="277">
        <f t="shared" ref="E140:U140" si="5">E135/$A135</f>
        <v>0.97619047619047616</v>
      </c>
      <c r="F140" s="277">
        <f t="shared" si="5"/>
        <v>1</v>
      </c>
      <c r="G140" s="277">
        <f t="shared" si="5"/>
        <v>0.8571428571428571</v>
      </c>
      <c r="H140" s="277">
        <f t="shared" si="5"/>
        <v>1</v>
      </c>
      <c r="I140" s="277">
        <f t="shared" si="5"/>
        <v>1</v>
      </c>
      <c r="J140" s="277">
        <f t="shared" si="5"/>
        <v>1</v>
      </c>
      <c r="K140" s="277">
        <f t="shared" si="5"/>
        <v>0.95238095238095233</v>
      </c>
      <c r="L140" s="277">
        <f t="shared" si="5"/>
        <v>0.88095238095238093</v>
      </c>
      <c r="M140" s="277">
        <f t="shared" si="5"/>
        <v>0.90476190476190477</v>
      </c>
      <c r="N140" s="277">
        <f t="shared" si="5"/>
        <v>0.73809523809523814</v>
      </c>
      <c r="O140" s="277">
        <f t="shared" si="5"/>
        <v>0.7857142857142857</v>
      </c>
      <c r="P140" s="277">
        <f t="shared" si="5"/>
        <v>0.14285714285714285</v>
      </c>
      <c r="Q140" s="277">
        <f t="shared" si="5"/>
        <v>4.7619047619047616E-2</v>
      </c>
      <c r="R140" s="277">
        <f t="shared" si="5"/>
        <v>0</v>
      </c>
      <c r="S140" s="277">
        <f t="shared" si="5"/>
        <v>0</v>
      </c>
      <c r="T140" s="277">
        <f t="shared" si="5"/>
        <v>0</v>
      </c>
      <c r="U140" s="277">
        <f t="shared" si="5"/>
        <v>4.7619047619047616E-2</v>
      </c>
    </row>
    <row r="141" spans="1:24" x14ac:dyDescent="0.2">
      <c r="C141" s="275" t="s">
        <v>460</v>
      </c>
      <c r="E141" s="277">
        <f t="shared" ref="E141:U143" si="6">E136/$A136</f>
        <v>1</v>
      </c>
      <c r="F141" s="277">
        <f t="shared" si="6"/>
        <v>1</v>
      </c>
      <c r="G141" s="277">
        <f t="shared" si="6"/>
        <v>0.78947368421052633</v>
      </c>
      <c r="H141" s="277">
        <f t="shared" si="6"/>
        <v>1</v>
      </c>
      <c r="I141" s="277">
        <f t="shared" si="6"/>
        <v>1</v>
      </c>
      <c r="J141" s="277">
        <f t="shared" si="6"/>
        <v>1</v>
      </c>
      <c r="K141" s="277">
        <f t="shared" si="6"/>
        <v>0.94736842105263153</v>
      </c>
      <c r="L141" s="277">
        <f t="shared" si="6"/>
        <v>0.73684210526315785</v>
      </c>
      <c r="M141" s="277">
        <f t="shared" si="6"/>
        <v>0.78947368421052633</v>
      </c>
      <c r="N141" s="277">
        <f t="shared" si="6"/>
        <v>0.47368421052631576</v>
      </c>
      <c r="O141" s="277">
        <f t="shared" si="6"/>
        <v>0.57894736842105265</v>
      </c>
      <c r="P141" s="277">
        <f t="shared" si="6"/>
        <v>0.42105263157894735</v>
      </c>
      <c r="Q141" s="277">
        <f t="shared" si="6"/>
        <v>0</v>
      </c>
      <c r="R141" s="277">
        <f t="shared" si="6"/>
        <v>0</v>
      </c>
      <c r="S141" s="277">
        <f t="shared" si="6"/>
        <v>0</v>
      </c>
      <c r="T141" s="277">
        <f t="shared" si="6"/>
        <v>0</v>
      </c>
      <c r="U141" s="277">
        <f t="shared" si="6"/>
        <v>5.2631578947368418E-2</v>
      </c>
    </row>
    <row r="142" spans="1:24" x14ac:dyDescent="0.2">
      <c r="C142" s="275" t="s">
        <v>463</v>
      </c>
      <c r="E142" s="277">
        <f t="shared" si="6"/>
        <v>0.76119402985074625</v>
      </c>
      <c r="F142" s="277">
        <f t="shared" si="6"/>
        <v>0.76119402985074625</v>
      </c>
      <c r="G142" s="277">
        <f t="shared" si="6"/>
        <v>0.53731343283582089</v>
      </c>
      <c r="H142" s="277">
        <f t="shared" si="6"/>
        <v>0.74626865671641796</v>
      </c>
      <c r="I142" s="277">
        <f t="shared" si="6"/>
        <v>0.76119402985074625</v>
      </c>
      <c r="J142" s="277">
        <f t="shared" si="6"/>
        <v>0.76119402985074625</v>
      </c>
      <c r="K142" s="277">
        <f t="shared" si="6"/>
        <v>0.74626865671641796</v>
      </c>
      <c r="L142" s="277">
        <f t="shared" si="6"/>
        <v>0.4925373134328358</v>
      </c>
      <c r="M142" s="277">
        <f t="shared" si="6"/>
        <v>0.53731343283582089</v>
      </c>
      <c r="N142" s="277">
        <f t="shared" si="6"/>
        <v>0.35820895522388058</v>
      </c>
      <c r="O142" s="277">
        <f t="shared" si="6"/>
        <v>0.38805970149253732</v>
      </c>
      <c r="P142" s="277">
        <f t="shared" si="6"/>
        <v>0.20895522388059701</v>
      </c>
      <c r="Q142" s="277">
        <f t="shared" si="6"/>
        <v>5.9701492537313432E-2</v>
      </c>
      <c r="R142" s="277">
        <f t="shared" si="6"/>
        <v>4.4776119402985072E-2</v>
      </c>
      <c r="S142" s="277">
        <f t="shared" si="6"/>
        <v>4.4776119402985072E-2</v>
      </c>
      <c r="T142" s="277">
        <f t="shared" si="6"/>
        <v>0</v>
      </c>
      <c r="U142" s="277">
        <f t="shared" si="6"/>
        <v>2.9850746268656716E-2</v>
      </c>
    </row>
    <row r="143" spans="1:24" x14ac:dyDescent="0.2">
      <c r="C143" s="275" t="s">
        <v>7</v>
      </c>
      <c r="E143" s="277">
        <f t="shared" si="6"/>
        <v>0.8671875</v>
      </c>
      <c r="F143" s="277">
        <f t="shared" si="6"/>
        <v>0.875</v>
      </c>
      <c r="G143" s="277">
        <f t="shared" si="6"/>
        <v>0.6796875</v>
      </c>
      <c r="H143" s="277">
        <f t="shared" si="6"/>
        <v>0.8671875</v>
      </c>
      <c r="I143" s="277">
        <f t="shared" si="6"/>
        <v>0.875</v>
      </c>
      <c r="J143" s="277">
        <f t="shared" si="6"/>
        <v>0.875</v>
      </c>
      <c r="K143" s="277">
        <f t="shared" si="6"/>
        <v>0.84375</v>
      </c>
      <c r="L143" s="277">
        <f t="shared" si="6"/>
        <v>0.65625</v>
      </c>
      <c r="M143" s="277">
        <f t="shared" si="6"/>
        <v>0.6953125</v>
      </c>
      <c r="N143" s="277">
        <f t="shared" si="6"/>
        <v>0.5</v>
      </c>
      <c r="O143" s="277">
        <f t="shared" si="6"/>
        <v>0.546875</v>
      </c>
      <c r="P143" s="277">
        <f t="shared" si="6"/>
        <v>0.21875</v>
      </c>
      <c r="Q143" s="277">
        <f t="shared" si="6"/>
        <v>4.6875E-2</v>
      </c>
      <c r="R143" s="277">
        <f t="shared" si="6"/>
        <v>2.34375E-2</v>
      </c>
      <c r="S143" s="277">
        <f t="shared" si="6"/>
        <v>2.34375E-2</v>
      </c>
      <c r="T143" s="277">
        <f t="shared" si="6"/>
        <v>0</v>
      </c>
      <c r="U143" s="277">
        <f t="shared" si="6"/>
        <v>3.90625E-2</v>
      </c>
    </row>
  </sheetData>
  <mergeCells count="1">
    <mergeCell ref="E1:U1"/>
  </mergeCells>
  <hyperlinks>
    <hyperlink ref="D62" location="'2009-10'!A160" display="Bottom" xr:uid="{AC43529F-A9BA-4D3A-81BD-AB51BA865046}"/>
  </hyperlink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C823B-F824-4E18-9960-93577126524F}">
  <dimension ref="A1:O31"/>
  <sheetViews>
    <sheetView workbookViewId="0">
      <selection activeCell="N25" sqref="N25"/>
    </sheetView>
  </sheetViews>
  <sheetFormatPr defaultRowHeight="12.75" x14ac:dyDescent="0.2"/>
  <cols>
    <col min="1" max="1" width="6.85546875" customWidth="1"/>
    <col min="2" max="2" width="16.140625" bestFit="1" customWidth="1"/>
    <col min="3" max="3" width="14.140625" bestFit="1" customWidth="1"/>
    <col min="4" max="4" width="3" style="5" bestFit="1" customWidth="1"/>
    <col min="5" max="6" width="10.7109375" customWidth="1"/>
    <col min="14" max="14" width="32.85546875" bestFit="1" customWidth="1"/>
  </cols>
  <sheetData>
    <row r="1" spans="1:15" ht="15.75" x14ac:dyDescent="0.25">
      <c r="A1" s="794" t="s">
        <v>447</v>
      </c>
      <c r="B1" s="794"/>
      <c r="C1" s="794"/>
      <c r="D1" s="794"/>
      <c r="E1" s="794"/>
      <c r="F1" s="794"/>
    </row>
    <row r="2" spans="1:15" x14ac:dyDescent="0.2">
      <c r="E2" s="262"/>
    </row>
    <row r="3" spans="1:15" ht="74.25" x14ac:dyDescent="0.2">
      <c r="A3" s="263" t="s">
        <v>34</v>
      </c>
      <c r="B3" s="38" t="s">
        <v>5</v>
      </c>
      <c r="C3" s="3" t="s">
        <v>14</v>
      </c>
      <c r="D3" s="3" t="s">
        <v>261</v>
      </c>
      <c r="E3" s="39" t="s">
        <v>403</v>
      </c>
      <c r="F3" s="40" t="s">
        <v>180</v>
      </c>
      <c r="G3" s="795" t="s">
        <v>262</v>
      </c>
      <c r="H3" s="796"/>
      <c r="I3" s="797"/>
      <c r="J3" s="795" t="s">
        <v>263</v>
      </c>
      <c r="K3" s="796"/>
      <c r="L3" s="797"/>
    </row>
    <row r="4" spans="1:15" ht="68.25" thickBot="1" x14ac:dyDescent="0.25">
      <c r="A4" s="41"/>
      <c r="B4" s="41"/>
      <c r="C4" s="41"/>
      <c r="D4" s="36"/>
      <c r="E4" s="89" t="s">
        <v>177</v>
      </c>
      <c r="F4" s="90" t="s">
        <v>43</v>
      </c>
      <c r="G4" s="108" t="s">
        <v>264</v>
      </c>
      <c r="H4" s="108" t="s">
        <v>265</v>
      </c>
      <c r="I4" s="108" t="s">
        <v>266</v>
      </c>
      <c r="J4" s="108" t="s">
        <v>267</v>
      </c>
      <c r="K4" s="108" t="s">
        <v>265</v>
      </c>
      <c r="L4" s="108" t="s">
        <v>266</v>
      </c>
      <c r="M4" s="264" t="s">
        <v>268</v>
      </c>
      <c r="N4" s="264" t="s">
        <v>515</v>
      </c>
      <c r="O4" s="264" t="s">
        <v>516</v>
      </c>
    </row>
    <row r="5" spans="1:15" ht="13.5" thickTop="1" x14ac:dyDescent="0.2">
      <c r="A5" s="9">
        <v>10500</v>
      </c>
      <c r="B5" s="8" t="s">
        <v>405</v>
      </c>
      <c r="C5" s="9" t="str">
        <f>VLOOKUP(B5,'App 1 - Services'!$B$5:$D$132,2,FALSE)</f>
        <v>SSROC</v>
      </c>
      <c r="D5" s="29" t="str">
        <f>VLOOKUP(B5,'App 1 - Services'!$B$5:$D$132,3,FALSE)</f>
        <v>S</v>
      </c>
      <c r="E5" s="65">
        <f>VLOOKUP(B5,'App 1 - Services'!$B$5:$F$132,5,FALSE)</f>
        <v>182987</v>
      </c>
      <c r="F5" s="265">
        <f>VLOOKUP(B5,'App 1 - Services'!$B$5:$G$132,6,FALSE)</f>
        <v>67952</v>
      </c>
      <c r="G5" s="266">
        <f>VLOOKUP(B5,'App 6 - Residual Waste'!$B$5:$F$132,5,FALSE)</f>
        <v>41324.92</v>
      </c>
      <c r="H5" s="265">
        <f>VLOOKUP(B5,'App 6 - Residual Waste'!$B$5:$H$132,6,FALSE)</f>
        <v>13306.919999999998</v>
      </c>
      <c r="I5" s="265">
        <f>VLOOKUP(B5,'App 6 - Residual Waste'!$B$5:$H$132,7,FALSE)</f>
        <v>28018</v>
      </c>
      <c r="J5" s="265">
        <v>41324.92</v>
      </c>
      <c r="K5" s="265">
        <f>J5-L5</f>
        <v>13306.919999999998</v>
      </c>
      <c r="L5" s="265">
        <v>28018</v>
      </c>
      <c r="M5" s="144">
        <f>K5/J5</f>
        <v>0.32200715694065468</v>
      </c>
      <c r="N5" t="s">
        <v>503</v>
      </c>
      <c r="O5" t="s">
        <v>509</v>
      </c>
    </row>
    <row r="6" spans="1:15" x14ac:dyDescent="0.2">
      <c r="A6" s="8">
        <v>10750</v>
      </c>
      <c r="B6" s="8" t="s">
        <v>45</v>
      </c>
      <c r="C6" s="9" t="str">
        <f>VLOOKUP(B6,'App 1 - Services'!$B$5:$D$132,2,FALSE)</f>
        <v>WSROC</v>
      </c>
      <c r="D6" s="29" t="str">
        <f>VLOOKUP(B6,'App 1 - Services'!$B$5:$D$132,3,FALSE)</f>
        <v>S</v>
      </c>
      <c r="E6" s="65">
        <f>VLOOKUP(B6,'App 1 - Services'!$B$5:$F$132,5,FALSE)</f>
        <v>426202</v>
      </c>
      <c r="F6" s="265">
        <f>VLOOKUP(B6,'App 1 - Services'!$B$5:$G$132,6,FALSE)</f>
        <v>155045</v>
      </c>
      <c r="G6" s="266">
        <f>VLOOKUP(B6,'App 6 - Residual Waste'!$B$5:$F$132,5,FALSE)</f>
        <v>111502</v>
      </c>
      <c r="H6" s="265">
        <f>VLOOKUP(B6,'App 6 - Residual Waste'!$B$5:$H$132,6,FALSE)</f>
        <v>100949</v>
      </c>
      <c r="I6" s="265">
        <f>VLOOKUP(B6,'App 6 - Residual Waste'!$B$5:$H$132,7,FALSE)</f>
        <v>10553</v>
      </c>
      <c r="J6" s="265">
        <v>111502</v>
      </c>
      <c r="K6" s="265">
        <f t="shared" ref="K6:K24" si="0">J6-L6</f>
        <v>100949</v>
      </c>
      <c r="L6" s="265">
        <v>10553</v>
      </c>
      <c r="M6" s="144">
        <f>K6/J6</f>
        <v>0.90535595774066835</v>
      </c>
    </row>
    <row r="7" spans="1:15" x14ac:dyDescent="0.2">
      <c r="A7" s="8">
        <v>11300</v>
      </c>
      <c r="B7" s="8" t="s">
        <v>85</v>
      </c>
      <c r="C7" s="9" t="str">
        <f>VLOOKUP(B7,'App 1 - Services'!$B$5:$D$132,2,FALSE)</f>
        <v>SSROC</v>
      </c>
      <c r="D7" s="29" t="str">
        <f>VLOOKUP(B7,'App 1 - Services'!$B$5:$D$132,3,FALSE)</f>
        <v>S</v>
      </c>
      <c r="E7" s="65">
        <f>VLOOKUP(B7,'App 1 - Services'!$B$5:$F$132,5,FALSE)</f>
        <v>42498</v>
      </c>
      <c r="F7" s="265">
        <f>VLOOKUP(B7,'App 1 - Services'!$B$5:$G$132,6,FALSE)</f>
        <v>14954</v>
      </c>
      <c r="G7" s="266">
        <f>VLOOKUP(B7,'App 6 - Residual Waste'!$B$5:$F$132,5,FALSE)</f>
        <v>8368.4599999999991</v>
      </c>
      <c r="H7" s="265">
        <f>VLOOKUP(B7,'App 6 - Residual Waste'!$B$5:$H$132,6,FALSE)</f>
        <v>2694.6399999999994</v>
      </c>
      <c r="I7" s="265">
        <f>VLOOKUP(B7,'App 6 - Residual Waste'!$B$5:$H$132,7,FALSE)</f>
        <v>5673.82</v>
      </c>
      <c r="J7" s="265">
        <v>8368.4599999999991</v>
      </c>
      <c r="K7" s="265">
        <f t="shared" si="0"/>
        <v>2694.6399999999994</v>
      </c>
      <c r="L7" s="265">
        <v>5673.82</v>
      </c>
      <c r="M7" s="144">
        <f>K7/J7</f>
        <v>0.32199950767524727</v>
      </c>
      <c r="N7" t="s">
        <v>503</v>
      </c>
      <c r="O7" t="s">
        <v>510</v>
      </c>
    </row>
    <row r="8" spans="1:15" x14ac:dyDescent="0.2">
      <c r="A8" s="8">
        <v>11450</v>
      </c>
      <c r="B8" s="8" t="s">
        <v>69</v>
      </c>
      <c r="C8" s="9" t="str">
        <f>VLOOKUP(B8,'App 1 - Services'!$B$5:$D$132,2,FALSE)</f>
        <v>MSWA</v>
      </c>
      <c r="D8" s="29" t="str">
        <f>VLOOKUP(B8,'App 1 - Services'!$B$5:$D$132,3,FALSE)</f>
        <v>S</v>
      </c>
      <c r="E8" s="65">
        <f>VLOOKUP(B8,'App 1 - Services'!$B$5:$F$132,5,FALSE)</f>
        <v>134811</v>
      </c>
      <c r="F8" s="265">
        <f>VLOOKUP(B8,'App 1 - Services'!$B$5:$G$132,6,FALSE)</f>
        <v>44583</v>
      </c>
      <c r="G8" s="266">
        <f>VLOOKUP(B8,'App 6 - Residual Waste'!$B$5:$F$132,5,FALSE)</f>
        <v>27503.599999999999</v>
      </c>
      <c r="H8" s="265">
        <f>VLOOKUP(B8,'App 6 - Residual Waste'!$B$5:$H$132,6,FALSE)</f>
        <v>10039.209999999999</v>
      </c>
      <c r="I8" s="265" t="s">
        <v>419</v>
      </c>
      <c r="J8" s="265">
        <v>27504</v>
      </c>
      <c r="K8" s="265">
        <f t="shared" si="0"/>
        <v>10039.209999999999</v>
      </c>
      <c r="L8" s="265">
        <v>17464.79</v>
      </c>
      <c r="M8" s="144">
        <f t="shared" ref="M8:M24" si="1">K8/J8</f>
        <v>0.36500908958696915</v>
      </c>
    </row>
    <row r="9" spans="1:15" x14ac:dyDescent="0.2">
      <c r="A9" s="8">
        <v>12380</v>
      </c>
      <c r="B9" s="8" t="s">
        <v>47</v>
      </c>
      <c r="C9" s="9" t="str">
        <f>VLOOKUP(B9,'App 1 - Services'!$B$5:$D$132,2,FALSE)</f>
        <v>WSROC</v>
      </c>
      <c r="D9" s="29" t="str">
        <f>VLOOKUP(B9,'App 1 - Services'!$B$5:$D$132,3,FALSE)</f>
        <v>S</v>
      </c>
      <c r="E9" s="65">
        <f>VLOOKUP(B9,'App 1 - Services'!$B$5:$F$132,5,FALSE)</f>
        <v>245323</v>
      </c>
      <c r="F9" s="265">
        <f>VLOOKUP(B9,'App 1 - Services'!$B$5:$G$132,6,FALSE)</f>
        <v>73565</v>
      </c>
      <c r="G9" s="266">
        <f>VLOOKUP(B9,'App 6 - Residual Waste'!$B$5:$F$132,5,FALSE)</f>
        <v>67859</v>
      </c>
      <c r="H9" s="265">
        <f>VLOOKUP(B9,'App 6 - Residual Waste'!$B$5:$H$132,6,FALSE)</f>
        <v>0</v>
      </c>
      <c r="I9" s="265">
        <f>VLOOKUP(B9,'App 6 - Residual Waste'!$B$5:$H$132,7,FALSE)</f>
        <v>67859</v>
      </c>
      <c r="J9" s="265">
        <v>67859</v>
      </c>
      <c r="K9" s="265">
        <f t="shared" si="0"/>
        <v>0</v>
      </c>
      <c r="L9" s="265">
        <v>67859</v>
      </c>
      <c r="M9" s="144">
        <f t="shared" si="1"/>
        <v>0</v>
      </c>
    </row>
    <row r="10" spans="1:15" x14ac:dyDescent="0.2">
      <c r="A10" s="8">
        <v>12930</v>
      </c>
      <c r="B10" s="8" t="s">
        <v>48</v>
      </c>
      <c r="C10" s="9" t="str">
        <f>VLOOKUP(B10,'App 1 - Services'!$B$5:$D$132,2,FALSE)</f>
        <v>SSROC</v>
      </c>
      <c r="D10" s="29" t="str">
        <f>VLOOKUP(B10,'App 1 - Services'!$B$5:$D$132,3,FALSE)</f>
        <v>S</v>
      </c>
      <c r="E10" s="65">
        <f>VLOOKUP(B10,'App 1 - Services'!$B$5:$F$132,5,FALSE)</f>
        <v>158051</v>
      </c>
      <c r="F10" s="265">
        <f>VLOOKUP(B10,'App 1 - Services'!$B$5:$G$132,6,FALSE)</f>
        <v>60396</v>
      </c>
      <c r="G10" s="266">
        <f>VLOOKUP(B10,'App 6 - Residual Waste'!$B$5:$F$132,5,FALSE)</f>
        <v>31093</v>
      </c>
      <c r="H10" s="265">
        <f>VLOOKUP(B10,'App 6 - Residual Waste'!$B$5:$H$132,6,FALSE)</f>
        <v>7329</v>
      </c>
      <c r="I10" s="265">
        <f>VLOOKUP(B10,'App 6 - Residual Waste'!$B$5:$H$132,7,FALSE)</f>
        <v>23764</v>
      </c>
      <c r="J10" s="265">
        <v>22731</v>
      </c>
      <c r="K10" s="265">
        <f t="shared" si="0"/>
        <v>7329</v>
      </c>
      <c r="L10" s="265">
        <v>15402</v>
      </c>
      <c r="M10" s="144">
        <f t="shared" si="1"/>
        <v>0.3224231226078923</v>
      </c>
      <c r="N10" t="s">
        <v>504</v>
      </c>
    </row>
    <row r="11" spans="1:15" x14ac:dyDescent="0.2">
      <c r="A11" s="8">
        <v>14100</v>
      </c>
      <c r="B11" s="8" t="s">
        <v>49</v>
      </c>
      <c r="C11" s="9" t="str">
        <f>VLOOKUP(B11,'App 1 - Services'!$B$5:$D$132,2,FALSE)</f>
        <v>NSROC</v>
      </c>
      <c r="D11" s="29" t="str">
        <f>VLOOKUP(B11,'App 1 - Services'!$B$5:$D$132,3,FALSE)</f>
        <v>S</v>
      </c>
      <c r="E11" s="65">
        <f>VLOOKUP(B11,'App 1 - Services'!$B$5:$F$132,5,FALSE)</f>
        <v>14036</v>
      </c>
      <c r="F11" s="265">
        <f>VLOOKUP(B11,'App 1 - Services'!$B$5:$G$132,6,FALSE)</f>
        <v>5776</v>
      </c>
      <c r="G11" s="266">
        <f>VLOOKUP(B11,'App 6 - Residual Waste'!$B$5:$F$132,5,FALSE)</f>
        <v>2960.86</v>
      </c>
      <c r="H11" s="265">
        <f>VLOOKUP(B11,'App 6 - Residual Waste'!$B$5:$H$132,6,FALSE)</f>
        <v>104.31</v>
      </c>
      <c r="I11" s="265">
        <f>VLOOKUP(B11,'App 6 - Residual Waste'!$B$5:$H$132,7,FALSE)</f>
        <v>2856.55</v>
      </c>
      <c r="J11" s="265">
        <v>432.33</v>
      </c>
      <c r="K11" s="265">
        <f t="shared" si="0"/>
        <v>104.31</v>
      </c>
      <c r="L11" s="265">
        <v>328.02</v>
      </c>
      <c r="M11" s="144">
        <f t="shared" si="1"/>
        <v>0.24127402678509474</v>
      </c>
    </row>
    <row r="12" spans="1:15" x14ac:dyDescent="0.2">
      <c r="A12" s="8">
        <v>14170</v>
      </c>
      <c r="B12" s="8" t="s">
        <v>50</v>
      </c>
      <c r="C12" s="9" t="str">
        <f>VLOOKUP(B12,'App 1 - Services'!$B$5:$D$132,2,FALSE)</f>
        <v>SSROC</v>
      </c>
      <c r="D12" s="29" t="str">
        <f>VLOOKUP(B12,'App 1 - Services'!$B$5:$D$132,3,FALSE)</f>
        <v>S</v>
      </c>
      <c r="E12" s="65">
        <f>VLOOKUP(B12,'App 1 - Services'!$B$5:$F$132,5,FALSE)</f>
        <v>188325</v>
      </c>
      <c r="F12" s="265">
        <f>VLOOKUP(B12,'App 1 - Services'!$B$5:$G$132,6,FALSE)</f>
        <v>88919</v>
      </c>
      <c r="G12" s="266">
        <f>VLOOKUP(B12,'App 6 - Residual Waste'!$B$5:$F$132,5,FALSE)</f>
        <v>37102</v>
      </c>
      <c r="H12" s="265">
        <f>VLOOKUP(B12,'App 6 - Residual Waste'!$B$5:$H$132,6,FALSE)</f>
        <v>10018</v>
      </c>
      <c r="I12" s="265">
        <f>VLOOKUP(B12,'App 6 - Residual Waste'!$B$5:$H$132,7,FALSE)</f>
        <v>27084</v>
      </c>
      <c r="J12" s="265">
        <v>37102</v>
      </c>
      <c r="K12" s="265">
        <f t="shared" si="0"/>
        <v>10018</v>
      </c>
      <c r="L12" s="265">
        <v>27084</v>
      </c>
      <c r="M12" s="144">
        <f t="shared" si="1"/>
        <v>0.2700123982534634</v>
      </c>
      <c r="N12" t="s">
        <v>503</v>
      </c>
      <c r="O12" t="s">
        <v>509</v>
      </c>
    </row>
    <row r="13" spans="1:15" x14ac:dyDescent="0.2">
      <c r="A13" s="8">
        <v>14500</v>
      </c>
      <c r="B13" s="8" t="s">
        <v>51</v>
      </c>
      <c r="C13" s="9" t="str">
        <f>VLOOKUP(B13,'App 1 - Services'!$B$5:$D$132,2,FALSE)</f>
        <v>NSROC</v>
      </c>
      <c r="D13" s="29" t="str">
        <f>VLOOKUP(B13,'App 1 - Services'!$B$5:$D$132,3,FALSE)</f>
        <v>S</v>
      </c>
      <c r="E13" s="65">
        <f>VLOOKUP(B13,'App 1 - Services'!$B$5:$F$132,5,FALSE)</f>
        <v>126983</v>
      </c>
      <c r="F13" s="265">
        <f>VLOOKUP(B13,'App 1 - Services'!$B$5:$G$132,6,FALSE)</f>
        <v>48275</v>
      </c>
      <c r="G13" s="266">
        <f>VLOOKUP(B13,'App 6 - Residual Waste'!$B$5:$F$132,5,FALSE)</f>
        <v>22506.46</v>
      </c>
      <c r="H13" s="265">
        <f>VLOOKUP(B13,'App 6 - Residual Waste'!$B$5:$H$132,6,FALSE)</f>
        <v>1755.5200000000004</v>
      </c>
      <c r="I13" s="265">
        <f>VLOOKUP(B13,'App 6 - Residual Waste'!$B$5:$H$132,7,FALSE)</f>
        <v>20750.939999999999</v>
      </c>
      <c r="J13" s="265">
        <v>4820.6400000000003</v>
      </c>
      <c r="K13" s="265">
        <f t="shared" si="0"/>
        <v>1755.5200000000004</v>
      </c>
      <c r="L13" s="265">
        <v>3065.12</v>
      </c>
      <c r="M13" s="144">
        <f t="shared" si="1"/>
        <v>0.36416741345547488</v>
      </c>
      <c r="N13" t="s">
        <v>503</v>
      </c>
    </row>
    <row r="14" spans="1:15" x14ac:dyDescent="0.2">
      <c r="A14" s="8">
        <v>14700</v>
      </c>
      <c r="B14" s="8" t="s">
        <v>52</v>
      </c>
      <c r="C14" s="9" t="str">
        <f>VLOOKUP(B14,'App 1 - Services'!$B$5:$D$132,2,FALSE)</f>
        <v>NSROC</v>
      </c>
      <c r="D14" s="29" t="str">
        <f>VLOOKUP(B14,'App 1 - Services'!$B$5:$D$132,3,FALSE)</f>
        <v>S</v>
      </c>
      <c r="E14" s="65">
        <f>VLOOKUP(B14,'App 1 - Services'!$B$5:$F$132,5,FALSE)</f>
        <v>41549</v>
      </c>
      <c r="F14" s="265">
        <f>VLOOKUP(B14,'App 1 - Services'!$B$5:$G$132,6,FALSE)</f>
        <v>18945</v>
      </c>
      <c r="G14" s="266">
        <f>VLOOKUP(B14,'App 6 - Residual Waste'!$B$5:$F$132,5,FALSE)</f>
        <v>7349.08</v>
      </c>
      <c r="H14" s="265">
        <f>VLOOKUP(B14,'App 6 - Residual Waste'!$B$5:$H$132,6,FALSE)</f>
        <v>313.40999999999997</v>
      </c>
      <c r="I14" s="265">
        <f>VLOOKUP(B14,'App 6 - Residual Waste'!$B$5:$H$132,7,FALSE)</f>
        <v>7035.67</v>
      </c>
      <c r="J14" s="265">
        <v>1299</v>
      </c>
      <c r="K14" s="265">
        <f t="shared" si="0"/>
        <v>313.40999999999997</v>
      </c>
      <c r="L14" s="265">
        <v>985.59</v>
      </c>
      <c r="M14" s="144">
        <f t="shared" si="1"/>
        <v>0.24127020785219397</v>
      </c>
      <c r="N14" t="s">
        <v>269</v>
      </c>
      <c r="O14" t="s">
        <v>511</v>
      </c>
    </row>
    <row r="15" spans="1:15" x14ac:dyDescent="0.2">
      <c r="A15" s="8">
        <v>15990</v>
      </c>
      <c r="B15" s="8" t="s">
        <v>141</v>
      </c>
      <c r="C15" s="9">
        <f>VLOOKUP(B15,'App 1 - Services'!$B$5:$D$132,2,FALSE)</f>
        <v>0</v>
      </c>
      <c r="D15" s="29" t="str">
        <f>VLOOKUP(B15,'App 1 - Services'!$B$5:$D$132,3,FALSE)</f>
        <v>S</v>
      </c>
      <c r="E15" s="65">
        <f>VLOOKUP(B15,'App 1 - Services'!$B$5:$F$132,5,FALSE)</f>
        <v>267921</v>
      </c>
      <c r="F15" s="265">
        <f>VLOOKUP(B15,'App 1 - Services'!$B$5:$G$132,6,FALSE)</f>
        <v>117734</v>
      </c>
      <c r="G15" s="266">
        <f>VLOOKUP(B15,'App 6 - Residual Waste'!$B$5:$F$132,5,FALSE)</f>
        <v>45911.12</v>
      </c>
      <c r="H15" s="265">
        <f>VLOOKUP(B15,'App 6 - Residual Waste'!$B$5:$H$132,6,FALSE)</f>
        <v>17850.660000000003</v>
      </c>
      <c r="I15" s="265">
        <f>VLOOKUP(B15,'App 6 - Residual Waste'!$B$5:$H$132,7,FALSE)</f>
        <v>28060.46</v>
      </c>
      <c r="J15" s="265">
        <v>45911.12</v>
      </c>
      <c r="K15" s="265">
        <f t="shared" si="0"/>
        <v>17850.660000000003</v>
      </c>
      <c r="L15" s="265">
        <v>28060.46</v>
      </c>
      <c r="M15" s="144">
        <f t="shared" si="1"/>
        <v>0.38880907283464228</v>
      </c>
      <c r="N15" t="s">
        <v>505</v>
      </c>
      <c r="O15" t="s">
        <v>512</v>
      </c>
    </row>
    <row r="16" spans="1:15" x14ac:dyDescent="0.2">
      <c r="A16" s="8">
        <v>16260</v>
      </c>
      <c r="B16" s="8" t="s">
        <v>56</v>
      </c>
      <c r="C16" s="9" t="str">
        <f>VLOOKUP(B16,'App 1 - Services'!$B$5:$D$132,2,FALSE)</f>
        <v>WSROC</v>
      </c>
      <c r="D16" s="29" t="str">
        <f>VLOOKUP(B16,'App 1 - Services'!$B$5:$D$132,3,FALSE)</f>
        <v>S</v>
      </c>
      <c r="E16" s="65">
        <f>VLOOKUP(B16,'App 1 - Services'!$B$5:$F$132,5,FALSE)</f>
        <v>269145</v>
      </c>
      <c r="F16" s="265">
        <f>VLOOKUP(B16,'App 1 - Services'!$B$5:$G$132,6,FALSE)</f>
        <v>107699</v>
      </c>
      <c r="G16" s="266">
        <f>VLOOKUP(B16,'App 6 - Residual Waste'!$B$5:$F$132,5,FALSE)</f>
        <v>49539.96</v>
      </c>
      <c r="H16" s="265">
        <f>VLOOKUP(B16,'App 6 - Residual Waste'!$B$5:$H$132,6,FALSE)</f>
        <v>14366.589999999997</v>
      </c>
      <c r="I16" s="265">
        <f>VLOOKUP(B16,'App 6 - Residual Waste'!$B$5:$H$132,7,FALSE)</f>
        <v>35173.370000000003</v>
      </c>
      <c r="J16" s="265">
        <v>49539.96</v>
      </c>
      <c r="K16" s="266">
        <f t="shared" si="0"/>
        <v>14366.589999999997</v>
      </c>
      <c r="L16" s="265">
        <v>35173.370000000003</v>
      </c>
      <c r="M16" s="144">
        <f t="shared" si="1"/>
        <v>0.29000003229715965</v>
      </c>
      <c r="N16" t="s">
        <v>270</v>
      </c>
      <c r="O16" t="s">
        <v>271</v>
      </c>
    </row>
    <row r="17" spans="1:15" x14ac:dyDescent="0.2">
      <c r="A17" s="8">
        <v>16350</v>
      </c>
      <c r="B17" s="8" t="s">
        <v>57</v>
      </c>
      <c r="C17" s="9" t="str">
        <f>VLOOKUP(B17,'App 1 - Services'!$B$5:$D$132,2,FALSE)</f>
        <v>MSWA</v>
      </c>
      <c r="D17" s="29" t="str">
        <f>VLOOKUP(B17,'App 1 - Services'!$B$5:$D$132,3,FALSE)</f>
        <v>S</v>
      </c>
      <c r="E17" s="65">
        <f>VLOOKUP(B17,'App 1 - Services'!$B$5:$F$132,5,FALSE)</f>
        <v>224483</v>
      </c>
      <c r="F17" s="265">
        <f>VLOOKUP(B17,'App 1 - Services'!$B$5:$G$132,6,FALSE)</f>
        <v>82564</v>
      </c>
      <c r="G17" s="266">
        <f>VLOOKUP(B17,'App 6 - Residual Waste'!$B$5:$F$132,5,FALSE)</f>
        <v>33813.97</v>
      </c>
      <c r="H17" s="265">
        <f>VLOOKUP(B17,'App 6 - Residual Waste'!$B$5:$H$132,6,FALSE)</f>
        <v>3698.1100000000006</v>
      </c>
      <c r="I17" s="265">
        <f>VLOOKUP(B17,'App 6 - Residual Waste'!$B$5:$H$132,7,FALSE)</f>
        <v>30115.86</v>
      </c>
      <c r="J17" s="265">
        <v>13048.51</v>
      </c>
      <c r="K17" s="266">
        <f t="shared" si="0"/>
        <v>3698.1100000000006</v>
      </c>
      <c r="L17" s="265">
        <v>9350.4</v>
      </c>
      <c r="M17" s="144">
        <f t="shared" si="1"/>
        <v>0.28341243559609491</v>
      </c>
      <c r="N17" t="s">
        <v>506</v>
      </c>
      <c r="O17" t="s">
        <v>513</v>
      </c>
    </row>
    <row r="18" spans="1:15" x14ac:dyDescent="0.2">
      <c r="A18" s="8">
        <v>16550</v>
      </c>
      <c r="B18" s="8" t="s">
        <v>59</v>
      </c>
      <c r="C18" s="9" t="str">
        <f>VLOOKUP(B18,'App 1 - Services'!$B$5:$D$132,2,FALSE)</f>
        <v>SSROC</v>
      </c>
      <c r="D18" s="29" t="str">
        <f>VLOOKUP(B18,'App 1 - Services'!$B$5:$D$132,3,FALSE)</f>
        <v>S</v>
      </c>
      <c r="E18" s="65">
        <f>VLOOKUP(B18,'App 1 - Services'!$B$5:$F$132,5,FALSE)</f>
        <v>141840</v>
      </c>
      <c r="F18" s="265">
        <f>VLOOKUP(B18,'App 1 - Services'!$B$5:$G$132,6,FALSE)</f>
        <v>60012</v>
      </c>
      <c r="G18" s="266">
        <f>VLOOKUP(B18,'App 6 - Residual Waste'!$B$5:$F$132,5,FALSE)</f>
        <v>20574.259999999998</v>
      </c>
      <c r="H18" s="265">
        <f>VLOOKUP(B18,'App 6 - Residual Waste'!$B$5:$H$132,6,FALSE)</f>
        <v>6583.7599999999984</v>
      </c>
      <c r="I18" s="265">
        <f>VLOOKUP(B18,'App 6 - Residual Waste'!$B$5:$H$132,7,FALSE)</f>
        <v>13990.5</v>
      </c>
      <c r="J18" s="265">
        <v>20574.259999999998</v>
      </c>
      <c r="K18" s="266">
        <f t="shared" si="0"/>
        <v>6583.7599999999984</v>
      </c>
      <c r="L18" s="265">
        <v>13990.5</v>
      </c>
      <c r="M18" s="144">
        <f t="shared" si="1"/>
        <v>0.31999984446585195</v>
      </c>
      <c r="N18" t="s">
        <v>272</v>
      </c>
      <c r="O18" t="s">
        <v>273</v>
      </c>
    </row>
    <row r="19" spans="1:15" x14ac:dyDescent="0.2">
      <c r="A19" s="8">
        <v>16700</v>
      </c>
      <c r="B19" s="8" t="s">
        <v>60</v>
      </c>
      <c r="C19" s="9" t="str">
        <f>VLOOKUP(B19,'App 1 - Services'!$B$5:$D$132,2,FALSE)</f>
        <v>NSROC</v>
      </c>
      <c r="D19" s="29" t="str">
        <f>VLOOKUP(B19,'App 1 - Services'!$B$5:$D$132,3,FALSE)</f>
        <v>S</v>
      </c>
      <c r="E19" s="65">
        <f>VLOOKUP(B19,'App 1 - Services'!$B$5:$F$132,5,FALSE)</f>
        <v>135716</v>
      </c>
      <c r="F19" s="265">
        <f>VLOOKUP(B19,'App 1 - Services'!$B$5:$G$132,6,FALSE)</f>
        <v>55382</v>
      </c>
      <c r="G19" s="266">
        <f>VLOOKUP(B19,'App 6 - Residual Waste'!$B$5:$F$132,5,FALSE)</f>
        <v>25517.84</v>
      </c>
      <c r="H19" s="265">
        <f>VLOOKUP(B19,'App 6 - Residual Waste'!$B$5:$H$132,6,FALSE)</f>
        <v>404.85999999999967</v>
      </c>
      <c r="I19" s="265">
        <f>VLOOKUP(B19,'App 6 - Residual Waste'!$B$5:$H$132,7,FALSE)</f>
        <v>25112.98</v>
      </c>
      <c r="J19" s="265">
        <v>5007.99</v>
      </c>
      <c r="K19" s="266">
        <f t="shared" si="0"/>
        <v>404.85999999999967</v>
      </c>
      <c r="L19" s="265">
        <v>4603.13</v>
      </c>
      <c r="M19" s="144">
        <f t="shared" si="1"/>
        <v>8.0842813184531057E-2</v>
      </c>
      <c r="N19" t="s">
        <v>503</v>
      </c>
      <c r="O19" t="s">
        <v>509</v>
      </c>
    </row>
    <row r="20" spans="1:15" x14ac:dyDescent="0.2">
      <c r="A20" s="8">
        <v>17200</v>
      </c>
      <c r="B20" s="8" t="s">
        <v>61</v>
      </c>
      <c r="C20" s="9" t="str">
        <f>VLOOKUP(B20,'App 1 - Services'!$B$5:$D$132,2,FALSE)</f>
        <v>SSROC</v>
      </c>
      <c r="D20" s="29" t="str">
        <f>VLOOKUP(B20,'App 1 - Services'!$B$5:$D$132,3,FALSE)</f>
        <v>S</v>
      </c>
      <c r="E20" s="65">
        <f>VLOOKUP(B20,'App 1 - Services'!$B$5:$F$132,5,FALSE)</f>
        <v>231086</v>
      </c>
      <c r="F20" s="265">
        <f>VLOOKUP(B20,'App 1 - Services'!$B$5:$G$132,6,FALSE)</f>
        <v>132291</v>
      </c>
      <c r="G20" s="266">
        <f>VLOOKUP(B20,'App 6 - Residual Waste'!$B$5:$F$132,5,FALSE)</f>
        <v>43091</v>
      </c>
      <c r="H20" s="265">
        <f>VLOOKUP(B20,'App 6 - Residual Waste'!$B$5:$H$132,6,FALSE)</f>
        <v>12733</v>
      </c>
      <c r="I20" s="265">
        <f>VLOOKUP(B20,'App 6 - Residual Waste'!$B$5:$H$132,7,FALSE)</f>
        <v>30358</v>
      </c>
      <c r="J20" s="265">
        <v>43091</v>
      </c>
      <c r="K20" s="266">
        <f t="shared" si="0"/>
        <v>12733</v>
      </c>
      <c r="L20" s="265">
        <v>30358</v>
      </c>
      <c r="M20" s="144">
        <f t="shared" si="1"/>
        <v>0.2954909377828317</v>
      </c>
      <c r="N20" t="s">
        <v>507</v>
      </c>
    </row>
    <row r="21" spans="1:15" x14ac:dyDescent="0.2">
      <c r="A21" s="8">
        <v>17640</v>
      </c>
      <c r="B21" s="8" t="s">
        <v>161</v>
      </c>
      <c r="C21" s="9" t="str">
        <f>VLOOKUP(B21,'App 1 - Services'!$B$5:$D$132,2,FALSE)</f>
        <v>CRJO</v>
      </c>
      <c r="D21" s="29" t="str">
        <f>VLOOKUP(B21,'App 1 - Services'!$B$5:$D$132,3,FALSE)</f>
        <v>N</v>
      </c>
      <c r="E21" s="65">
        <f>VLOOKUP(B21,'App 1 - Services'!$B$5:$F$132,5,FALSE)</f>
        <v>8706</v>
      </c>
      <c r="F21" s="265">
        <f>VLOOKUP(B21,'App 1 - Services'!$B$5:$G$132,6,FALSE)</f>
        <v>6980</v>
      </c>
      <c r="G21" s="266">
        <f>VLOOKUP(B21,'App 6 - Residual Waste'!$B$5:$F$132,5,FALSE)</f>
        <v>3045</v>
      </c>
      <c r="H21" s="265">
        <f>VLOOKUP(B21,'App 6 - Residual Waste'!$B$5:$H$132,6,FALSE)</f>
        <v>0</v>
      </c>
      <c r="I21" s="265">
        <f>VLOOKUP(B21,'App 6 - Residual Waste'!$B$5:$H$132,7,FALSE)</f>
        <v>3045</v>
      </c>
      <c r="J21" s="265">
        <v>3045</v>
      </c>
      <c r="K21" s="266">
        <f t="shared" si="0"/>
        <v>0</v>
      </c>
      <c r="L21" s="265">
        <v>3045</v>
      </c>
      <c r="M21" s="144">
        <f t="shared" si="1"/>
        <v>0</v>
      </c>
    </row>
    <row r="22" spans="1:15" x14ac:dyDescent="0.2">
      <c r="A22" s="8">
        <v>18050</v>
      </c>
      <c r="B22" s="8" t="s">
        <v>62</v>
      </c>
      <c r="C22" s="9" t="str">
        <f>VLOOKUP(B22,'App 1 - Services'!$B$5:$D$132,2,FALSE)</f>
        <v>SSROC</v>
      </c>
      <c r="D22" s="29" t="str">
        <f>VLOOKUP(B22,'App 1 - Services'!$B$5:$D$132,3,FALSE)</f>
        <v>S</v>
      </c>
      <c r="E22" s="65">
        <f>VLOOKUP(B22,'App 1 - Services'!$B$5:$F$132,5,FALSE)</f>
        <v>71414</v>
      </c>
      <c r="F22" s="265">
        <f>VLOOKUP(B22,'App 1 - Services'!$B$5:$G$132,6,FALSE)</f>
        <v>29835</v>
      </c>
      <c r="G22" s="266">
        <f>VLOOKUP(B22,'App 6 - Residual Waste'!$B$5:$F$132,5,FALSE)</f>
        <v>13600</v>
      </c>
      <c r="H22" s="265">
        <f>VLOOKUP(B22,'App 6 - Residual Waste'!$B$5:$H$132,6,FALSE)</f>
        <v>1812</v>
      </c>
      <c r="I22" s="265">
        <f>VLOOKUP(B22,'App 6 - Residual Waste'!$B$5:$H$132,7,FALSE)</f>
        <v>11788</v>
      </c>
      <c r="J22" s="265">
        <v>13600</v>
      </c>
      <c r="K22" s="266">
        <f t="shared" si="0"/>
        <v>1812</v>
      </c>
      <c r="L22" s="265">
        <v>11788</v>
      </c>
      <c r="M22" s="144">
        <f t="shared" si="1"/>
        <v>0.13323529411764706</v>
      </c>
      <c r="N22" t="s">
        <v>508</v>
      </c>
      <c r="O22" t="s">
        <v>514</v>
      </c>
    </row>
    <row r="23" spans="1:15" x14ac:dyDescent="0.2">
      <c r="A23" s="8">
        <v>18250</v>
      </c>
      <c r="B23" s="8" t="s">
        <v>63</v>
      </c>
      <c r="C23" s="9" t="str">
        <f>VLOOKUP(B23,'App 1 - Services'!$B$5:$D$132,2,FALSE)</f>
        <v>NSROC</v>
      </c>
      <c r="D23" s="29" t="str">
        <f>VLOOKUP(B23,'App 1 - Services'!$B$5:$D$132,3,FALSE)</f>
        <v>S</v>
      </c>
      <c r="E23" s="65">
        <f>VLOOKUP(B23,'App 1 - Services'!$B$5:$F$132,5,FALSE)</f>
        <v>77874</v>
      </c>
      <c r="F23" s="265">
        <f>VLOOKUP(B23,'App 1 - Services'!$B$5:$G$132,6,FALSE)</f>
        <v>30797</v>
      </c>
      <c r="G23" s="266">
        <f>VLOOKUP(B23,'App 6 - Residual Waste'!$B$5:$F$132,5,FALSE)</f>
        <v>14346.58</v>
      </c>
      <c r="H23" s="265">
        <f>VLOOKUP(B23,'App 6 - Residual Waste'!$B$5:$H$132,6,FALSE)</f>
        <v>698</v>
      </c>
      <c r="I23" s="265">
        <f>VLOOKUP(B23,'App 6 - Residual Waste'!$B$5:$H$132,7,FALSE)</f>
        <v>13648.58</v>
      </c>
      <c r="J23" s="265">
        <v>1774</v>
      </c>
      <c r="K23" s="266">
        <f t="shared" si="0"/>
        <v>698</v>
      </c>
      <c r="L23" s="265">
        <v>1076</v>
      </c>
      <c r="M23" s="144">
        <f t="shared" si="1"/>
        <v>0.39346110484780156</v>
      </c>
      <c r="O23" s="2"/>
    </row>
    <row r="24" spans="1:15" ht="13.5" thickBot="1" x14ac:dyDescent="0.25">
      <c r="A24" s="8">
        <v>18500</v>
      </c>
      <c r="B24" s="8" t="s">
        <v>65</v>
      </c>
      <c r="C24" s="9" t="str">
        <f>VLOOKUP(B24,'App 1 - Services'!$B$5:$D$132,2,FALSE)</f>
        <v>SSROC</v>
      </c>
      <c r="D24" s="29" t="str">
        <f>VLOOKUP(B24,'App 1 - Services'!$B$5:$D$132,3,FALSE)</f>
        <v>S</v>
      </c>
      <c r="E24" s="65">
        <f>VLOOKUP(B24,'App 1 - Services'!$B$5:$F$132,5,FALSE)</f>
        <v>54660</v>
      </c>
      <c r="F24" s="265">
        <f>VLOOKUP(B24,'App 1 - Services'!$B$5:$G$132,6,FALSE)</f>
        <v>25863</v>
      </c>
      <c r="G24" s="266">
        <f>VLOOKUP(B24,'App 6 - Residual Waste'!$B$5:$F$132,5,FALSE)</f>
        <v>10358.17</v>
      </c>
      <c r="H24" s="265">
        <f>VLOOKUP(B24,'App 6 - Residual Waste'!$B$5:$H$132,6,FALSE)</f>
        <v>2228</v>
      </c>
      <c r="I24" s="265" t="s">
        <v>419</v>
      </c>
      <c r="J24" s="265">
        <v>10358</v>
      </c>
      <c r="K24" s="266">
        <f t="shared" si="0"/>
        <v>2228</v>
      </c>
      <c r="L24" s="265">
        <v>8130</v>
      </c>
      <c r="M24" s="144">
        <f t="shared" si="1"/>
        <v>0.21509944004634099</v>
      </c>
      <c r="N24" t="s">
        <v>503</v>
      </c>
      <c r="O24" s="2"/>
    </row>
    <row r="25" spans="1:15" ht="13.5" thickTop="1" x14ac:dyDescent="0.2">
      <c r="A25" s="66"/>
      <c r="B25" s="20"/>
      <c r="C25" s="11" t="s">
        <v>26</v>
      </c>
      <c r="D25" s="11"/>
      <c r="E25" s="229">
        <f t="shared" ref="E25:M25" si="2">COUNTIF(E5:E24,"&gt;0")</f>
        <v>20</v>
      </c>
      <c r="F25" s="229">
        <f t="shared" si="2"/>
        <v>20</v>
      </c>
      <c r="G25" s="229">
        <f t="shared" si="2"/>
        <v>20</v>
      </c>
      <c r="H25" s="229">
        <f t="shared" si="2"/>
        <v>18</v>
      </c>
      <c r="I25" s="229">
        <f t="shared" si="2"/>
        <v>18</v>
      </c>
      <c r="J25" s="229">
        <f t="shared" si="2"/>
        <v>20</v>
      </c>
      <c r="K25" s="229">
        <f t="shared" si="2"/>
        <v>18</v>
      </c>
      <c r="L25" s="229">
        <f t="shared" si="2"/>
        <v>20</v>
      </c>
      <c r="M25" s="229">
        <f t="shared" si="2"/>
        <v>18</v>
      </c>
    </row>
    <row r="26" spans="1:15" x14ac:dyDescent="0.2">
      <c r="A26" s="68"/>
      <c r="B26" s="14"/>
      <c r="C26" s="8" t="s">
        <v>27</v>
      </c>
      <c r="D26" s="8"/>
      <c r="E26" s="267">
        <f t="shared" ref="E26:L26" si="3">SUM(E5:E24)</f>
        <v>3043610</v>
      </c>
      <c r="F26" s="267">
        <f t="shared" si="3"/>
        <v>1227567</v>
      </c>
      <c r="G26" s="267">
        <f t="shared" si="3"/>
        <v>617367.28</v>
      </c>
      <c r="H26" s="267">
        <f t="shared" si="3"/>
        <v>206884.99</v>
      </c>
      <c r="I26" s="267">
        <f t="shared" si="3"/>
        <v>384887.73</v>
      </c>
      <c r="J26" s="267">
        <f t="shared" si="3"/>
        <v>528893.19000000006</v>
      </c>
      <c r="K26" s="267">
        <f t="shared" si="3"/>
        <v>206884.99</v>
      </c>
      <c r="L26" s="267">
        <f t="shared" si="3"/>
        <v>322008.19999999995</v>
      </c>
      <c r="M26" s="268">
        <f t="shared" ref="M26" si="4">K26/J26</f>
        <v>0.39116591764019493</v>
      </c>
    </row>
    <row r="27" spans="1:15" x14ac:dyDescent="0.2">
      <c r="A27" s="68"/>
      <c r="B27" s="14"/>
      <c r="C27" s="8" t="s">
        <v>28</v>
      </c>
      <c r="D27" s="8"/>
      <c r="E27" s="269">
        <f t="shared" ref="E27:L27" si="5">MIN(E5:E24)</f>
        <v>8706</v>
      </c>
      <c r="F27" s="269">
        <f t="shared" si="5"/>
        <v>5776</v>
      </c>
      <c r="G27" s="269">
        <f t="shared" si="5"/>
        <v>2960.86</v>
      </c>
      <c r="H27" s="269">
        <f t="shared" si="5"/>
        <v>0</v>
      </c>
      <c r="I27" s="269">
        <f t="shared" si="5"/>
        <v>2856.55</v>
      </c>
      <c r="J27" s="269">
        <f t="shared" si="5"/>
        <v>432.33</v>
      </c>
      <c r="K27" s="269">
        <f t="shared" si="5"/>
        <v>0</v>
      </c>
      <c r="L27" s="269">
        <f t="shared" si="5"/>
        <v>328.02</v>
      </c>
      <c r="M27" s="269"/>
    </row>
    <row r="28" spans="1:15" x14ac:dyDescent="0.2">
      <c r="A28" s="68"/>
      <c r="B28" s="14"/>
      <c r="C28" s="8" t="s">
        <v>29</v>
      </c>
      <c r="D28" s="8"/>
      <c r="E28" s="269">
        <f t="shared" ref="E28:L28" si="6">MAX(E5:E24)</f>
        <v>426202</v>
      </c>
      <c r="F28" s="269">
        <f t="shared" si="6"/>
        <v>155045</v>
      </c>
      <c r="G28" s="269">
        <f t="shared" si="6"/>
        <v>111502</v>
      </c>
      <c r="H28" s="269">
        <f t="shared" si="6"/>
        <v>100949</v>
      </c>
      <c r="I28" s="269">
        <f t="shared" si="6"/>
        <v>67859</v>
      </c>
      <c r="J28" s="269">
        <f t="shared" si="6"/>
        <v>111502</v>
      </c>
      <c r="K28" s="269">
        <f t="shared" si="6"/>
        <v>100949</v>
      </c>
      <c r="L28" s="269">
        <f t="shared" si="6"/>
        <v>67859</v>
      </c>
      <c r="M28" s="269"/>
    </row>
    <row r="29" spans="1:15" x14ac:dyDescent="0.2">
      <c r="A29" s="68"/>
      <c r="B29" s="14"/>
      <c r="C29" s="8" t="s">
        <v>30</v>
      </c>
      <c r="D29" s="8"/>
      <c r="E29" s="269">
        <f t="shared" ref="E29:L29" si="7">AVERAGE(E5:E24)</f>
        <v>152180.5</v>
      </c>
      <c r="F29" s="269">
        <f t="shared" si="7"/>
        <v>61378.35</v>
      </c>
      <c r="G29" s="269">
        <f t="shared" si="7"/>
        <v>30868.364000000001</v>
      </c>
      <c r="H29" s="269">
        <f t="shared" si="7"/>
        <v>10344.2495</v>
      </c>
      <c r="I29" s="269">
        <f t="shared" si="7"/>
        <v>21382.651666666665</v>
      </c>
      <c r="J29" s="269">
        <f t="shared" si="7"/>
        <v>26444.659500000002</v>
      </c>
      <c r="K29" s="269">
        <f t="shared" si="7"/>
        <v>10344.2495</v>
      </c>
      <c r="L29" s="269">
        <f t="shared" si="7"/>
        <v>16100.409999999998</v>
      </c>
      <c r="M29" s="269"/>
    </row>
    <row r="30" spans="1:15" ht="13.5" thickBot="1" x14ac:dyDescent="0.25">
      <c r="A30" s="68"/>
      <c r="B30" s="17"/>
      <c r="C30" s="16" t="s">
        <v>31</v>
      </c>
      <c r="D30" s="16"/>
      <c r="E30" s="270">
        <f t="shared" ref="E30:L30" si="8">MEDIAN(E5:E24)</f>
        <v>138778</v>
      </c>
      <c r="F30" s="270">
        <f t="shared" si="8"/>
        <v>57697</v>
      </c>
      <c r="G30" s="270">
        <f t="shared" si="8"/>
        <v>26510.720000000001</v>
      </c>
      <c r="H30" s="270">
        <f t="shared" si="8"/>
        <v>3196.375</v>
      </c>
      <c r="I30" s="270">
        <f t="shared" si="8"/>
        <v>22257.47</v>
      </c>
      <c r="J30" s="270">
        <f t="shared" si="8"/>
        <v>17087.129999999997</v>
      </c>
      <c r="K30" s="270">
        <f t="shared" si="8"/>
        <v>3196.375</v>
      </c>
      <c r="L30" s="270">
        <f t="shared" si="8"/>
        <v>11170.5</v>
      </c>
      <c r="M30" s="270"/>
    </row>
    <row r="31" spans="1:15" ht="13.5" thickTop="1" x14ac:dyDescent="0.2"/>
  </sheetData>
  <mergeCells count="3">
    <mergeCell ref="A1:F1"/>
    <mergeCell ref="G3:I3"/>
    <mergeCell ref="J3:L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5AB61-7663-4BDD-9F39-11632FA6572E}">
  <dimension ref="A1:AB295"/>
  <sheetViews>
    <sheetView workbookViewId="0">
      <pane xSplit="5" ySplit="5" topLeftCell="F18" activePane="bottomRight" state="frozen"/>
      <selection pane="topRight" activeCell="F1" sqref="F1"/>
      <selection pane="bottomLeft" activeCell="A6" sqref="A6"/>
      <selection pane="bottomRight" activeCell="B29" sqref="B29:K30"/>
    </sheetView>
  </sheetViews>
  <sheetFormatPr defaultRowHeight="12.75" x14ac:dyDescent="0.2"/>
  <cols>
    <col min="2" max="2" width="23.140625" bestFit="1" customWidth="1"/>
    <col min="3" max="3" width="12.140625" bestFit="1" customWidth="1"/>
    <col min="4" max="4" width="3" bestFit="1" customWidth="1"/>
    <col min="9" max="9" width="3.28515625" customWidth="1"/>
    <col min="13" max="13" width="3.28515625" customWidth="1"/>
    <col min="17" max="17" width="3.28515625" customWidth="1"/>
    <col min="21" max="21" width="3.28515625" customWidth="1"/>
    <col min="25" max="25" width="3.28515625" customWidth="1"/>
  </cols>
  <sheetData>
    <row r="1" spans="1:28" ht="15.75" customHeight="1" x14ac:dyDescent="0.25">
      <c r="A1" s="798" t="s">
        <v>529</v>
      </c>
      <c r="B1" s="798"/>
      <c r="C1" s="798"/>
      <c r="D1" s="798"/>
      <c r="E1" s="798"/>
      <c r="F1" s="798"/>
      <c r="G1" s="798"/>
    </row>
    <row r="2" spans="1:28" ht="15.75" customHeight="1" x14ac:dyDescent="0.25">
      <c r="A2" s="659" t="s">
        <v>538</v>
      </c>
      <c r="B2" s="650"/>
      <c r="C2" s="650"/>
      <c r="D2" s="650"/>
      <c r="E2" s="650"/>
      <c r="F2" s="650"/>
      <c r="G2" s="650"/>
      <c r="I2" s="650"/>
      <c r="J2" s="650"/>
      <c r="K2" s="650"/>
      <c r="L2" s="650"/>
    </row>
    <row r="3" spans="1:28" ht="15.75" customHeight="1" x14ac:dyDescent="0.25">
      <c r="A3" s="650"/>
      <c r="B3" s="650"/>
      <c r="C3" s="650"/>
      <c r="D3" s="650"/>
      <c r="E3" s="650"/>
      <c r="F3" s="650"/>
      <c r="J3" s="650"/>
      <c r="R3" s="650"/>
      <c r="V3" s="650"/>
      <c r="Z3" s="650"/>
    </row>
    <row r="4" spans="1:28" ht="56.25" x14ac:dyDescent="0.2">
      <c r="A4" s="648" t="s">
        <v>526</v>
      </c>
      <c r="B4" s="648"/>
      <c r="C4" s="648"/>
      <c r="D4" s="648"/>
      <c r="E4" s="648"/>
      <c r="F4" s="40" t="s">
        <v>530</v>
      </c>
      <c r="G4" s="40" t="s">
        <v>530</v>
      </c>
      <c r="H4" s="40" t="s">
        <v>530</v>
      </c>
      <c r="I4" s="664"/>
      <c r="J4" s="40" t="s">
        <v>531</v>
      </c>
      <c r="K4" s="40" t="s">
        <v>531</v>
      </c>
      <c r="L4" s="651" t="s">
        <v>531</v>
      </c>
      <c r="N4" s="658" t="s">
        <v>532</v>
      </c>
      <c r="O4" s="40" t="s">
        <v>532</v>
      </c>
      <c r="P4" s="39" t="s">
        <v>532</v>
      </c>
      <c r="R4" s="658" t="s">
        <v>533</v>
      </c>
      <c r="S4" s="651" t="s">
        <v>533</v>
      </c>
      <c r="T4" s="39" t="s">
        <v>533</v>
      </c>
      <c r="V4" s="658" t="s">
        <v>387</v>
      </c>
      <c r="W4" s="40" t="s">
        <v>387</v>
      </c>
      <c r="X4" s="39" t="s">
        <v>387</v>
      </c>
      <c r="Z4" s="651" t="s">
        <v>534</v>
      </c>
      <c r="AA4" s="651" t="s">
        <v>534</v>
      </c>
      <c r="AB4" s="651" t="s">
        <v>534</v>
      </c>
    </row>
    <row r="5" spans="1:28" ht="33.75" x14ac:dyDescent="0.2">
      <c r="A5" s="7" t="s">
        <v>35</v>
      </c>
      <c r="B5" s="33" t="s">
        <v>36</v>
      </c>
      <c r="C5" s="32" t="s">
        <v>340</v>
      </c>
      <c r="D5" s="34" t="s">
        <v>4</v>
      </c>
      <c r="E5" s="34"/>
      <c r="F5" s="456" t="s">
        <v>535</v>
      </c>
      <c r="G5" s="456" t="s">
        <v>536</v>
      </c>
      <c r="H5" s="654" t="s">
        <v>537</v>
      </c>
      <c r="J5" s="656" t="s">
        <v>535</v>
      </c>
      <c r="K5" s="456" t="s">
        <v>536</v>
      </c>
      <c r="L5" s="652" t="s">
        <v>537</v>
      </c>
      <c r="N5" s="656" t="s">
        <v>535</v>
      </c>
      <c r="O5" s="456" t="s">
        <v>536</v>
      </c>
      <c r="P5" s="654" t="s">
        <v>537</v>
      </c>
      <c r="R5" s="656" t="s">
        <v>535</v>
      </c>
      <c r="S5" s="652" t="s">
        <v>536</v>
      </c>
      <c r="T5" s="654" t="s">
        <v>537</v>
      </c>
      <c r="V5" s="656" t="s">
        <v>535</v>
      </c>
      <c r="W5" s="456" t="s">
        <v>536</v>
      </c>
      <c r="X5" s="654" t="s">
        <v>537</v>
      </c>
      <c r="Z5" s="652" t="s">
        <v>535</v>
      </c>
      <c r="AA5" s="652" t="s">
        <v>536</v>
      </c>
      <c r="AB5" s="652" t="s">
        <v>537</v>
      </c>
    </row>
    <row r="6" spans="1:28" x14ac:dyDescent="0.2">
      <c r="A6" s="9">
        <v>10050</v>
      </c>
      <c r="B6" s="9" t="s">
        <v>71</v>
      </c>
      <c r="C6" s="9" t="s">
        <v>66</v>
      </c>
      <c r="D6" s="29" t="s">
        <v>1</v>
      </c>
      <c r="E6" s="98" t="s">
        <v>184</v>
      </c>
      <c r="F6" s="1"/>
      <c r="G6" s="1">
        <v>0</v>
      </c>
      <c r="H6" s="655">
        <v>0</v>
      </c>
      <c r="J6" s="657"/>
      <c r="K6" s="1">
        <v>0</v>
      </c>
      <c r="L6" s="653">
        <v>0</v>
      </c>
      <c r="N6" s="657"/>
      <c r="O6" s="1">
        <v>0</v>
      </c>
      <c r="P6" s="655">
        <v>0</v>
      </c>
      <c r="R6" s="657"/>
      <c r="S6" s="653">
        <v>0</v>
      </c>
      <c r="T6" s="655">
        <v>0</v>
      </c>
      <c r="V6" s="657"/>
      <c r="W6" s="1">
        <v>0</v>
      </c>
      <c r="X6" s="655">
        <v>0</v>
      </c>
      <c r="Z6" s="653">
        <v>0</v>
      </c>
      <c r="AA6" s="653">
        <v>0</v>
      </c>
      <c r="AB6" s="653">
        <v>0</v>
      </c>
    </row>
    <row r="7" spans="1:28" x14ac:dyDescent="0.2">
      <c r="A7" s="8">
        <v>10180</v>
      </c>
      <c r="B7" s="8" t="s">
        <v>72</v>
      </c>
      <c r="C7" s="8" t="s">
        <v>16</v>
      </c>
      <c r="D7" s="29" t="s">
        <v>1</v>
      </c>
      <c r="E7" s="98" t="s">
        <v>185</v>
      </c>
      <c r="F7" s="1"/>
      <c r="G7" s="1">
        <v>0</v>
      </c>
      <c r="H7" s="655">
        <v>0</v>
      </c>
      <c r="J7" s="657"/>
      <c r="K7" s="1">
        <v>0</v>
      </c>
      <c r="L7" s="653">
        <v>0</v>
      </c>
      <c r="N7" s="657"/>
      <c r="O7" s="1">
        <v>0</v>
      </c>
      <c r="P7" s="655">
        <v>0</v>
      </c>
      <c r="R7" s="657"/>
      <c r="S7" s="653">
        <v>0</v>
      </c>
      <c r="T7" s="655">
        <v>0</v>
      </c>
      <c r="V7" s="657"/>
      <c r="W7" s="1">
        <v>0</v>
      </c>
      <c r="X7" s="655">
        <v>0</v>
      </c>
      <c r="Z7" s="653">
        <v>0</v>
      </c>
      <c r="AA7" s="653">
        <v>0</v>
      </c>
      <c r="AB7" s="653">
        <v>0</v>
      </c>
    </row>
    <row r="8" spans="1:28" x14ac:dyDescent="0.2">
      <c r="A8" s="8">
        <v>10250</v>
      </c>
      <c r="B8" s="8" t="s">
        <v>73</v>
      </c>
      <c r="C8" s="8" t="s">
        <v>19</v>
      </c>
      <c r="D8" s="29" t="s">
        <v>3</v>
      </c>
      <c r="E8" s="98" t="s">
        <v>186</v>
      </c>
      <c r="F8" s="1"/>
      <c r="G8" s="1">
        <v>0</v>
      </c>
      <c r="H8" s="655">
        <v>0</v>
      </c>
      <c r="J8" s="657"/>
      <c r="K8" s="1">
        <v>0</v>
      </c>
      <c r="L8" s="653">
        <v>0</v>
      </c>
      <c r="N8" s="657"/>
      <c r="O8" s="1">
        <v>0</v>
      </c>
      <c r="P8" s="655">
        <v>0</v>
      </c>
      <c r="R8" s="657"/>
      <c r="S8" s="653">
        <v>0</v>
      </c>
      <c r="T8" s="655">
        <v>0</v>
      </c>
      <c r="V8" s="657"/>
      <c r="W8" s="1">
        <v>0</v>
      </c>
      <c r="X8" s="655">
        <v>0</v>
      </c>
      <c r="Z8" s="653">
        <v>0</v>
      </c>
      <c r="AA8" s="653">
        <v>0</v>
      </c>
      <c r="AB8" s="653">
        <v>0</v>
      </c>
    </row>
    <row r="9" spans="1:28" x14ac:dyDescent="0.2">
      <c r="A9" s="8">
        <v>10300</v>
      </c>
      <c r="B9" s="8" t="s">
        <v>74</v>
      </c>
      <c r="C9" s="8" t="s">
        <v>66</v>
      </c>
      <c r="D9" s="29" t="s">
        <v>1</v>
      </c>
      <c r="E9" s="98" t="s">
        <v>187</v>
      </c>
      <c r="F9" s="1"/>
      <c r="G9" s="1">
        <v>0</v>
      </c>
      <c r="H9" s="655">
        <v>0</v>
      </c>
      <c r="J9" s="657"/>
      <c r="K9" s="1">
        <v>0</v>
      </c>
      <c r="L9" s="653">
        <v>0</v>
      </c>
      <c r="N9" s="657"/>
      <c r="O9" s="1">
        <v>0</v>
      </c>
      <c r="P9" s="655">
        <v>0</v>
      </c>
      <c r="R9" s="657"/>
      <c r="S9" s="653">
        <v>0</v>
      </c>
      <c r="T9" s="655">
        <v>0</v>
      </c>
      <c r="V9" s="657"/>
      <c r="W9" s="1">
        <v>0</v>
      </c>
      <c r="X9" s="655">
        <v>0</v>
      </c>
      <c r="Z9" s="653">
        <v>0</v>
      </c>
      <c r="AA9" s="653">
        <v>0</v>
      </c>
      <c r="AB9" s="653">
        <v>0</v>
      </c>
    </row>
    <row r="10" spans="1:28" x14ac:dyDescent="0.2">
      <c r="A10" s="8">
        <v>10470</v>
      </c>
      <c r="B10" s="8" t="s">
        <v>75</v>
      </c>
      <c r="C10" s="8" t="s">
        <v>38</v>
      </c>
      <c r="D10" s="29" t="s">
        <v>1</v>
      </c>
      <c r="E10" s="98" t="s">
        <v>188</v>
      </c>
      <c r="F10" s="1"/>
      <c r="G10" s="1">
        <v>0</v>
      </c>
      <c r="H10" s="655">
        <v>0</v>
      </c>
      <c r="J10" s="657"/>
      <c r="K10" s="1">
        <v>0</v>
      </c>
      <c r="L10" s="653">
        <v>0</v>
      </c>
      <c r="N10" s="657"/>
      <c r="O10" s="1">
        <v>0</v>
      </c>
      <c r="P10" s="655">
        <v>0</v>
      </c>
      <c r="R10" s="657"/>
      <c r="S10" s="653">
        <v>0</v>
      </c>
      <c r="T10" s="655">
        <v>0</v>
      </c>
      <c r="V10" s="657"/>
      <c r="W10" s="1">
        <v>0</v>
      </c>
      <c r="X10" s="655">
        <v>0</v>
      </c>
      <c r="Z10" s="653">
        <v>0</v>
      </c>
      <c r="AA10" s="653">
        <v>0</v>
      </c>
      <c r="AB10" s="653">
        <v>0</v>
      </c>
    </row>
    <row r="11" spans="1:28" x14ac:dyDescent="0.2">
      <c r="A11" s="8">
        <v>10500</v>
      </c>
      <c r="B11" s="8" t="s">
        <v>405</v>
      </c>
      <c r="C11" s="8" t="s">
        <v>17</v>
      </c>
      <c r="D11" s="29" t="s">
        <v>2</v>
      </c>
      <c r="E11" s="98">
        <v>0</v>
      </c>
      <c r="F11" s="1">
        <v>8745</v>
      </c>
      <c r="G11" s="1">
        <v>6781</v>
      </c>
      <c r="H11" s="655">
        <v>1964</v>
      </c>
      <c r="J11" s="657">
        <v>259.02</v>
      </c>
      <c r="K11" s="1">
        <v>115.86999999999998</v>
      </c>
      <c r="L11" s="653">
        <v>143.15</v>
      </c>
      <c r="N11" s="657">
        <v>0</v>
      </c>
      <c r="O11" s="1">
        <v>0</v>
      </c>
      <c r="P11" s="655">
        <v>0</v>
      </c>
      <c r="R11" s="657"/>
      <c r="S11" s="653">
        <v>0</v>
      </c>
      <c r="T11" s="655">
        <v>0</v>
      </c>
      <c r="V11" s="657"/>
      <c r="W11" s="1">
        <v>0</v>
      </c>
      <c r="X11" s="655">
        <v>0</v>
      </c>
      <c r="Z11" s="653">
        <v>0</v>
      </c>
      <c r="AA11" s="653">
        <v>0</v>
      </c>
      <c r="AB11" s="653">
        <v>0</v>
      </c>
    </row>
    <row r="12" spans="1:28" x14ac:dyDescent="0.2">
      <c r="A12" s="8">
        <v>10550</v>
      </c>
      <c r="B12" s="8" t="s">
        <v>76</v>
      </c>
      <c r="C12" s="8" t="s">
        <v>67</v>
      </c>
      <c r="D12" s="29" t="s">
        <v>1</v>
      </c>
      <c r="E12" s="98" t="s">
        <v>67</v>
      </c>
      <c r="F12" s="1"/>
      <c r="G12" s="1">
        <v>0</v>
      </c>
      <c r="H12" s="655">
        <v>0</v>
      </c>
      <c r="J12" s="657"/>
      <c r="K12" s="1">
        <v>0</v>
      </c>
      <c r="L12" s="653">
        <v>0</v>
      </c>
      <c r="N12" s="657"/>
      <c r="O12" s="1">
        <v>0</v>
      </c>
      <c r="P12" s="655">
        <v>0</v>
      </c>
      <c r="R12" s="657"/>
      <c r="S12" s="653">
        <v>0</v>
      </c>
      <c r="T12" s="655">
        <v>0</v>
      </c>
      <c r="V12" s="657"/>
      <c r="W12" s="1">
        <v>0</v>
      </c>
      <c r="X12" s="655">
        <v>0</v>
      </c>
      <c r="Z12" s="653">
        <v>0</v>
      </c>
      <c r="AA12" s="653">
        <v>0</v>
      </c>
      <c r="AB12" s="653">
        <v>0</v>
      </c>
    </row>
    <row r="13" spans="1:28" x14ac:dyDescent="0.2">
      <c r="A13" s="8">
        <v>10600</v>
      </c>
      <c r="B13" s="8" t="s">
        <v>44</v>
      </c>
      <c r="C13" s="8" t="s">
        <v>39</v>
      </c>
      <c r="D13" s="29" t="s">
        <v>3</v>
      </c>
      <c r="E13" s="98" t="s">
        <v>189</v>
      </c>
      <c r="F13" s="1">
        <v>126.34</v>
      </c>
      <c r="G13" s="1">
        <v>0</v>
      </c>
      <c r="H13" s="655">
        <v>126.34</v>
      </c>
      <c r="J13" s="657"/>
      <c r="K13" s="1">
        <v>0</v>
      </c>
      <c r="L13" s="653">
        <v>0</v>
      </c>
      <c r="N13" s="657">
        <v>28.66</v>
      </c>
      <c r="O13" s="1">
        <v>28.66</v>
      </c>
      <c r="P13" s="655">
        <v>0</v>
      </c>
      <c r="R13" s="657"/>
      <c r="S13" s="653">
        <v>0</v>
      </c>
      <c r="T13" s="655">
        <v>0</v>
      </c>
      <c r="V13" s="657"/>
      <c r="W13" s="1">
        <v>0</v>
      </c>
      <c r="X13" s="655">
        <v>0</v>
      </c>
      <c r="Z13" s="653">
        <v>0</v>
      </c>
      <c r="AA13" s="653">
        <v>0</v>
      </c>
      <c r="AB13" s="653">
        <v>0</v>
      </c>
    </row>
    <row r="14" spans="1:28" x14ac:dyDescent="0.2">
      <c r="A14" s="8">
        <v>10650</v>
      </c>
      <c r="B14" s="8" t="s">
        <v>77</v>
      </c>
      <c r="C14" s="8" t="s">
        <v>66</v>
      </c>
      <c r="D14" s="29" t="s">
        <v>1</v>
      </c>
      <c r="E14" s="98" t="s">
        <v>184</v>
      </c>
      <c r="F14" s="1"/>
      <c r="G14" s="1">
        <v>0</v>
      </c>
      <c r="H14" s="655">
        <v>0</v>
      </c>
      <c r="J14" s="657"/>
      <c r="K14" s="1">
        <v>0</v>
      </c>
      <c r="L14" s="653">
        <v>0</v>
      </c>
      <c r="N14" s="657"/>
      <c r="O14" s="1">
        <v>0</v>
      </c>
      <c r="P14" s="655">
        <v>0</v>
      </c>
      <c r="R14" s="657"/>
      <c r="S14" s="653">
        <v>0</v>
      </c>
      <c r="T14" s="655">
        <v>0</v>
      </c>
      <c r="V14" s="657"/>
      <c r="W14" s="1">
        <v>0</v>
      </c>
      <c r="X14" s="655">
        <v>0</v>
      </c>
      <c r="Z14" s="653">
        <v>0</v>
      </c>
      <c r="AA14" s="653">
        <v>0</v>
      </c>
      <c r="AB14" s="653">
        <v>0</v>
      </c>
    </row>
    <row r="15" spans="1:28" x14ac:dyDescent="0.2">
      <c r="A15" s="8">
        <v>10750</v>
      </c>
      <c r="B15" s="8" t="s">
        <v>45</v>
      </c>
      <c r="C15" s="8" t="s">
        <v>18</v>
      </c>
      <c r="D15" s="29" t="s">
        <v>2</v>
      </c>
      <c r="E15" s="98">
        <v>0</v>
      </c>
      <c r="F15" s="1"/>
      <c r="G15" s="1">
        <v>0</v>
      </c>
      <c r="H15" s="655">
        <v>0</v>
      </c>
      <c r="J15" s="657">
        <v>946</v>
      </c>
      <c r="K15" s="1">
        <v>946</v>
      </c>
      <c r="L15" s="653">
        <v>0</v>
      </c>
      <c r="N15" s="657"/>
      <c r="O15" s="1">
        <v>0</v>
      </c>
      <c r="P15" s="655">
        <v>0</v>
      </c>
      <c r="R15" s="657"/>
      <c r="S15" s="653">
        <v>0</v>
      </c>
      <c r="T15" s="655">
        <v>0</v>
      </c>
      <c r="V15" s="657"/>
      <c r="W15" s="1">
        <v>0</v>
      </c>
      <c r="X15" s="655">
        <v>0</v>
      </c>
      <c r="Z15" s="653">
        <v>0</v>
      </c>
      <c r="AA15" s="653">
        <v>0</v>
      </c>
      <c r="AB15" s="653">
        <v>0</v>
      </c>
    </row>
    <row r="16" spans="1:28" x14ac:dyDescent="0.2">
      <c r="A16" s="8">
        <v>10800</v>
      </c>
      <c r="B16" s="8" t="s">
        <v>78</v>
      </c>
      <c r="C16" s="8" t="s">
        <v>21</v>
      </c>
      <c r="D16" s="29" t="s">
        <v>1</v>
      </c>
      <c r="E16" s="98" t="s">
        <v>190</v>
      </c>
      <c r="F16" s="1"/>
      <c r="G16" s="1">
        <v>0</v>
      </c>
      <c r="H16" s="655">
        <v>0</v>
      </c>
      <c r="J16" s="657"/>
      <c r="K16" s="1">
        <v>0</v>
      </c>
      <c r="L16" s="653">
        <v>0</v>
      </c>
      <c r="N16" s="657"/>
      <c r="O16" s="1">
        <v>0</v>
      </c>
      <c r="P16" s="655">
        <v>0</v>
      </c>
      <c r="R16" s="657"/>
      <c r="S16" s="653">
        <v>0</v>
      </c>
      <c r="T16" s="655">
        <v>0</v>
      </c>
      <c r="V16" s="657"/>
      <c r="W16" s="1">
        <v>0</v>
      </c>
      <c r="X16" s="655">
        <v>0</v>
      </c>
      <c r="Z16" s="653">
        <v>0</v>
      </c>
      <c r="AA16" s="653">
        <v>0</v>
      </c>
      <c r="AB16" s="653">
        <v>0</v>
      </c>
    </row>
    <row r="17" spans="1:28" x14ac:dyDescent="0.2">
      <c r="A17" s="8">
        <v>10850</v>
      </c>
      <c r="B17" s="8" t="s">
        <v>79</v>
      </c>
      <c r="C17" s="8" t="s">
        <v>38</v>
      </c>
      <c r="D17" s="29" t="s">
        <v>1</v>
      </c>
      <c r="E17" s="98" t="s">
        <v>188</v>
      </c>
      <c r="F17" s="1">
        <v>136</v>
      </c>
      <c r="G17" s="1">
        <v>136</v>
      </c>
      <c r="H17" s="655">
        <v>0</v>
      </c>
      <c r="J17" s="657"/>
      <c r="K17" s="1">
        <v>0</v>
      </c>
      <c r="L17" s="653">
        <v>0</v>
      </c>
      <c r="N17" s="657"/>
      <c r="O17" s="1">
        <v>0</v>
      </c>
      <c r="P17" s="655">
        <v>0</v>
      </c>
      <c r="R17" s="657"/>
      <c r="S17" s="653">
        <v>0</v>
      </c>
      <c r="T17" s="655">
        <v>0</v>
      </c>
      <c r="V17" s="657"/>
      <c r="W17" s="1">
        <v>0</v>
      </c>
      <c r="X17" s="655">
        <v>0</v>
      </c>
      <c r="Z17" s="653">
        <v>0</v>
      </c>
      <c r="AA17" s="653">
        <v>0</v>
      </c>
      <c r="AB17" s="653">
        <v>0</v>
      </c>
    </row>
    <row r="18" spans="1:28" x14ac:dyDescent="0.2">
      <c r="A18" s="8">
        <v>10900</v>
      </c>
      <c r="B18" s="8" t="s">
        <v>80</v>
      </c>
      <c r="C18" s="8" t="s">
        <v>18</v>
      </c>
      <c r="D18" s="29" t="s">
        <v>3</v>
      </c>
      <c r="E18" s="98">
        <v>0</v>
      </c>
      <c r="F18" s="1">
        <v>1707</v>
      </c>
      <c r="G18" s="1">
        <v>986.2</v>
      </c>
      <c r="H18" s="655">
        <v>720.8</v>
      </c>
      <c r="J18" s="657"/>
      <c r="K18" s="1">
        <v>0</v>
      </c>
      <c r="L18" s="653">
        <v>0</v>
      </c>
      <c r="N18" s="657"/>
      <c r="O18" s="1">
        <v>0</v>
      </c>
      <c r="P18" s="655">
        <v>0</v>
      </c>
      <c r="R18" s="657"/>
      <c r="S18" s="653">
        <v>0</v>
      </c>
      <c r="T18" s="655">
        <v>0</v>
      </c>
      <c r="V18" s="657"/>
      <c r="W18" s="1">
        <v>0</v>
      </c>
      <c r="X18" s="655">
        <v>0</v>
      </c>
      <c r="Z18" s="653">
        <v>145</v>
      </c>
      <c r="AA18" s="653">
        <v>145</v>
      </c>
      <c r="AB18" s="653">
        <v>0</v>
      </c>
    </row>
    <row r="19" spans="1:28" x14ac:dyDescent="0.2">
      <c r="A19" s="8">
        <v>10950</v>
      </c>
      <c r="B19" s="8" t="s">
        <v>81</v>
      </c>
      <c r="C19" s="8" t="s">
        <v>38</v>
      </c>
      <c r="D19" s="29" t="s">
        <v>1</v>
      </c>
      <c r="E19" s="98" t="s">
        <v>191</v>
      </c>
      <c r="F19" s="1"/>
      <c r="G19" s="1">
        <v>0</v>
      </c>
      <c r="H19" s="655">
        <v>0</v>
      </c>
      <c r="J19" s="657"/>
      <c r="K19" s="1">
        <v>0</v>
      </c>
      <c r="L19" s="653">
        <v>0</v>
      </c>
      <c r="N19" s="657"/>
      <c r="O19" s="1">
        <v>0</v>
      </c>
      <c r="P19" s="655">
        <v>0</v>
      </c>
      <c r="R19" s="657"/>
      <c r="S19" s="653">
        <v>0</v>
      </c>
      <c r="T19" s="655">
        <v>0</v>
      </c>
      <c r="V19" s="657"/>
      <c r="W19" s="1">
        <v>0</v>
      </c>
      <c r="X19" s="655">
        <v>0</v>
      </c>
      <c r="Z19" s="653">
        <v>0</v>
      </c>
      <c r="AA19" s="653">
        <v>0</v>
      </c>
      <c r="AB19" s="653">
        <v>0</v>
      </c>
    </row>
    <row r="20" spans="1:28" x14ac:dyDescent="0.2">
      <c r="A20" s="8">
        <v>11150</v>
      </c>
      <c r="B20" s="8" t="s">
        <v>82</v>
      </c>
      <c r="C20" s="8" t="s">
        <v>38</v>
      </c>
      <c r="D20" s="29" t="s">
        <v>1</v>
      </c>
      <c r="E20" s="98" t="s">
        <v>192</v>
      </c>
      <c r="F20" s="1"/>
      <c r="G20" s="1">
        <v>0</v>
      </c>
      <c r="H20" s="655">
        <v>0</v>
      </c>
      <c r="J20" s="657"/>
      <c r="K20" s="1">
        <v>0</v>
      </c>
      <c r="L20" s="653">
        <v>0</v>
      </c>
      <c r="N20" s="657"/>
      <c r="O20" s="1">
        <v>0</v>
      </c>
      <c r="P20" s="655">
        <v>0</v>
      </c>
      <c r="R20" s="657"/>
      <c r="S20" s="653">
        <v>0</v>
      </c>
      <c r="T20" s="655">
        <v>0</v>
      </c>
      <c r="V20" s="657"/>
      <c r="W20" s="1">
        <v>0</v>
      </c>
      <c r="X20" s="655">
        <v>0</v>
      </c>
      <c r="Z20" s="653">
        <v>0</v>
      </c>
      <c r="AA20" s="653">
        <v>0</v>
      </c>
      <c r="AB20" s="653">
        <v>0</v>
      </c>
    </row>
    <row r="21" spans="1:28" x14ac:dyDescent="0.2">
      <c r="A21" s="8">
        <v>11200</v>
      </c>
      <c r="B21" s="8" t="s">
        <v>83</v>
      </c>
      <c r="C21" s="8" t="s">
        <v>38</v>
      </c>
      <c r="D21" s="29" t="s">
        <v>1</v>
      </c>
      <c r="E21" s="98">
        <v>0</v>
      </c>
      <c r="F21" s="1">
        <v>20</v>
      </c>
      <c r="G21" s="1">
        <v>0</v>
      </c>
      <c r="H21" s="655">
        <v>20</v>
      </c>
      <c r="J21" s="657">
        <v>1</v>
      </c>
      <c r="K21" s="1">
        <v>1</v>
      </c>
      <c r="L21" s="653">
        <v>0</v>
      </c>
      <c r="N21" s="657">
        <v>20</v>
      </c>
      <c r="O21" s="1">
        <v>20</v>
      </c>
      <c r="P21" s="655">
        <v>0</v>
      </c>
      <c r="R21" s="657">
        <v>1</v>
      </c>
      <c r="S21" s="653">
        <v>1</v>
      </c>
      <c r="T21" s="655">
        <v>0</v>
      </c>
      <c r="V21" s="657"/>
      <c r="W21" s="1">
        <v>0</v>
      </c>
      <c r="X21" s="655">
        <v>0</v>
      </c>
      <c r="Z21" s="653">
        <v>0</v>
      </c>
      <c r="AA21" s="653">
        <v>0</v>
      </c>
      <c r="AB21" s="653">
        <v>0</v>
      </c>
    </row>
    <row r="22" spans="1:28" x14ac:dyDescent="0.2">
      <c r="A22" s="8">
        <v>11250</v>
      </c>
      <c r="B22" s="8" t="s">
        <v>84</v>
      </c>
      <c r="C22" s="8" t="s">
        <v>38</v>
      </c>
      <c r="D22" s="29" t="s">
        <v>1</v>
      </c>
      <c r="E22" s="98" t="s">
        <v>187</v>
      </c>
      <c r="F22" s="1"/>
      <c r="G22" s="1">
        <v>0</v>
      </c>
      <c r="H22" s="655">
        <v>0</v>
      </c>
      <c r="J22" s="657"/>
      <c r="K22" s="1">
        <v>0</v>
      </c>
      <c r="L22" s="653">
        <v>0</v>
      </c>
      <c r="N22" s="657"/>
      <c r="O22" s="1">
        <v>0</v>
      </c>
      <c r="P22" s="655">
        <v>0</v>
      </c>
      <c r="R22" s="657"/>
      <c r="S22" s="653">
        <v>0</v>
      </c>
      <c r="T22" s="655">
        <v>0</v>
      </c>
      <c r="V22" s="657"/>
      <c r="W22" s="1">
        <v>0</v>
      </c>
      <c r="X22" s="655">
        <v>0</v>
      </c>
      <c r="Z22" s="653">
        <v>0</v>
      </c>
      <c r="AA22" s="653">
        <v>0</v>
      </c>
      <c r="AB22" s="653">
        <v>0</v>
      </c>
    </row>
    <row r="23" spans="1:28" x14ac:dyDescent="0.2">
      <c r="A23" s="8">
        <v>11300</v>
      </c>
      <c r="B23" s="8" t="s">
        <v>85</v>
      </c>
      <c r="C23" s="8" t="s">
        <v>17</v>
      </c>
      <c r="D23" s="29" t="s">
        <v>2</v>
      </c>
      <c r="E23" s="98">
        <v>0</v>
      </c>
      <c r="F23" s="1">
        <v>873.67</v>
      </c>
      <c r="G23" s="1">
        <v>672.72</v>
      </c>
      <c r="H23" s="655">
        <v>200.95</v>
      </c>
      <c r="J23" s="657">
        <v>102.72</v>
      </c>
      <c r="K23" s="1">
        <v>92.72</v>
      </c>
      <c r="L23" s="653">
        <v>10</v>
      </c>
      <c r="N23" s="657"/>
      <c r="O23" s="1">
        <v>0</v>
      </c>
      <c r="P23" s="655">
        <v>0</v>
      </c>
      <c r="R23" s="657"/>
      <c r="S23" s="653">
        <v>0</v>
      </c>
      <c r="T23" s="655">
        <v>0</v>
      </c>
      <c r="V23" s="657"/>
      <c r="W23" s="1">
        <v>0</v>
      </c>
      <c r="X23" s="655">
        <v>0</v>
      </c>
      <c r="Z23" s="653">
        <v>0</v>
      </c>
      <c r="AA23" s="653">
        <v>0</v>
      </c>
      <c r="AB23" s="653">
        <v>0</v>
      </c>
    </row>
    <row r="24" spans="1:28" x14ac:dyDescent="0.2">
      <c r="A24" s="8">
        <v>11350</v>
      </c>
      <c r="B24" s="8" t="s">
        <v>86</v>
      </c>
      <c r="C24" s="8" t="s">
        <v>19</v>
      </c>
      <c r="D24" s="29" t="s">
        <v>3</v>
      </c>
      <c r="E24" s="98" t="s">
        <v>186</v>
      </c>
      <c r="F24" s="1">
        <v>1095.8699999999999</v>
      </c>
      <c r="G24" s="1">
        <v>0</v>
      </c>
      <c r="H24" s="655">
        <v>1095.8699999999999</v>
      </c>
      <c r="J24" s="657"/>
      <c r="K24" s="1">
        <v>0</v>
      </c>
      <c r="L24" s="653">
        <v>0</v>
      </c>
      <c r="N24" s="657"/>
      <c r="O24" s="1">
        <v>0</v>
      </c>
      <c r="P24" s="655">
        <v>0</v>
      </c>
      <c r="R24" s="657"/>
      <c r="S24" s="653">
        <v>0</v>
      </c>
      <c r="T24" s="655">
        <v>0</v>
      </c>
      <c r="V24" s="657"/>
      <c r="W24" s="1">
        <v>0</v>
      </c>
      <c r="X24" s="655">
        <v>0</v>
      </c>
      <c r="Z24" s="653">
        <v>462.14</v>
      </c>
      <c r="AA24" s="653">
        <v>462.14</v>
      </c>
      <c r="AB24" s="653">
        <v>0</v>
      </c>
    </row>
    <row r="25" spans="1:28" x14ac:dyDescent="0.2">
      <c r="A25" s="8">
        <v>11400</v>
      </c>
      <c r="B25" s="8" t="s">
        <v>87</v>
      </c>
      <c r="C25" s="8" t="s">
        <v>38</v>
      </c>
      <c r="D25" s="29" t="s">
        <v>1</v>
      </c>
      <c r="E25" s="98" t="s">
        <v>188</v>
      </c>
      <c r="F25" s="1">
        <v>108</v>
      </c>
      <c r="G25" s="1">
        <v>0</v>
      </c>
      <c r="H25" s="655">
        <v>108</v>
      </c>
      <c r="J25" s="657"/>
      <c r="K25" s="1">
        <v>0</v>
      </c>
      <c r="L25" s="653">
        <v>0</v>
      </c>
      <c r="N25" s="657">
        <v>34</v>
      </c>
      <c r="O25" s="1">
        <v>34</v>
      </c>
      <c r="P25" s="655">
        <v>0</v>
      </c>
      <c r="R25" s="657"/>
      <c r="S25" s="653">
        <v>0</v>
      </c>
      <c r="T25" s="655">
        <v>0</v>
      </c>
      <c r="V25" s="657"/>
      <c r="W25" s="1">
        <v>0</v>
      </c>
      <c r="X25" s="655">
        <v>0</v>
      </c>
      <c r="Z25" s="653">
        <v>0</v>
      </c>
      <c r="AA25" s="653">
        <v>0</v>
      </c>
      <c r="AB25" s="653">
        <v>0</v>
      </c>
    </row>
    <row r="26" spans="1:28" x14ac:dyDescent="0.2">
      <c r="A26" s="8">
        <v>11450</v>
      </c>
      <c r="B26" s="8" t="s">
        <v>69</v>
      </c>
      <c r="C26" s="8" t="s">
        <v>182</v>
      </c>
      <c r="D26" s="29" t="s">
        <v>2</v>
      </c>
      <c r="E26" s="98">
        <v>0</v>
      </c>
      <c r="F26" s="1">
        <v>7.72</v>
      </c>
      <c r="G26" s="1">
        <v>0</v>
      </c>
      <c r="H26" s="655">
        <v>7.72</v>
      </c>
      <c r="J26" s="657"/>
      <c r="K26" s="1">
        <v>0</v>
      </c>
      <c r="L26" s="653">
        <v>0</v>
      </c>
      <c r="N26" s="657"/>
      <c r="O26" s="1">
        <v>0</v>
      </c>
      <c r="P26" s="655">
        <v>0</v>
      </c>
      <c r="R26" s="657"/>
      <c r="S26" s="653">
        <v>0</v>
      </c>
      <c r="T26" s="655">
        <v>0</v>
      </c>
      <c r="V26" s="657"/>
      <c r="W26" s="1">
        <v>0</v>
      </c>
      <c r="X26" s="655">
        <v>0</v>
      </c>
      <c r="Z26" s="653">
        <v>0</v>
      </c>
      <c r="AA26" s="653">
        <v>0</v>
      </c>
      <c r="AB26" s="653">
        <v>0</v>
      </c>
    </row>
    <row r="27" spans="1:28" x14ac:dyDescent="0.2">
      <c r="A27" s="8">
        <v>11500</v>
      </c>
      <c r="B27" s="8" t="s">
        <v>46</v>
      </c>
      <c r="C27" s="8" t="s">
        <v>182</v>
      </c>
      <c r="D27" s="29" t="s">
        <v>2</v>
      </c>
      <c r="E27" s="98">
        <v>0</v>
      </c>
      <c r="F27" s="1">
        <v>9131.42</v>
      </c>
      <c r="G27" s="1">
        <v>0</v>
      </c>
      <c r="H27" s="655">
        <v>9131.42</v>
      </c>
      <c r="J27" s="657"/>
      <c r="K27" s="1">
        <v>0</v>
      </c>
      <c r="L27" s="653">
        <v>0</v>
      </c>
      <c r="N27" s="657"/>
      <c r="O27" s="1">
        <v>0</v>
      </c>
      <c r="P27" s="655">
        <v>0</v>
      </c>
      <c r="R27" s="657"/>
      <c r="S27" s="653">
        <v>0</v>
      </c>
      <c r="T27" s="655">
        <v>0</v>
      </c>
      <c r="V27" s="657"/>
      <c r="W27" s="1">
        <v>0</v>
      </c>
      <c r="X27" s="655">
        <v>0</v>
      </c>
      <c r="Z27" s="653">
        <v>0</v>
      </c>
      <c r="AA27" s="653">
        <v>0</v>
      </c>
      <c r="AB27" s="653">
        <v>0</v>
      </c>
    </row>
    <row r="28" spans="1:28" x14ac:dyDescent="0.2">
      <c r="A28" s="8">
        <v>11520</v>
      </c>
      <c r="B28" s="8" t="s">
        <v>88</v>
      </c>
      <c r="C28" s="8" t="s">
        <v>17</v>
      </c>
      <c r="D28" s="29" t="s">
        <v>2</v>
      </c>
      <c r="E28" s="98">
        <v>0</v>
      </c>
      <c r="F28" s="1">
        <v>2062</v>
      </c>
      <c r="G28" s="1">
        <v>847</v>
      </c>
      <c r="H28" s="655">
        <v>1215</v>
      </c>
      <c r="J28" s="657">
        <v>61</v>
      </c>
      <c r="K28" s="1">
        <v>61</v>
      </c>
      <c r="L28" s="653">
        <v>0</v>
      </c>
      <c r="N28" s="657">
        <v>129</v>
      </c>
      <c r="O28" s="1">
        <v>129</v>
      </c>
      <c r="P28" s="655">
        <v>0</v>
      </c>
      <c r="R28" s="657">
        <v>49</v>
      </c>
      <c r="S28" s="653">
        <v>49</v>
      </c>
      <c r="T28" s="655">
        <v>0</v>
      </c>
      <c r="V28" s="657">
        <v>50</v>
      </c>
      <c r="W28" s="1">
        <v>0</v>
      </c>
      <c r="X28" s="655">
        <v>50</v>
      </c>
      <c r="Z28" s="653">
        <v>180</v>
      </c>
      <c r="AA28" s="653">
        <v>180</v>
      </c>
      <c r="AB28" s="653">
        <v>0</v>
      </c>
    </row>
    <row r="29" spans="1:28" x14ac:dyDescent="0.2">
      <c r="A29" s="8">
        <v>11570</v>
      </c>
      <c r="B29" s="8" t="s">
        <v>89</v>
      </c>
      <c r="C29" s="8" t="s">
        <v>17</v>
      </c>
      <c r="D29" s="29" t="s">
        <v>2</v>
      </c>
      <c r="E29" s="98">
        <v>0</v>
      </c>
      <c r="F29" s="1">
        <v>12903</v>
      </c>
      <c r="G29" s="1">
        <v>3870.8999999999996</v>
      </c>
      <c r="H29" s="655">
        <v>9032.1</v>
      </c>
      <c r="J29" s="657">
        <v>533</v>
      </c>
      <c r="K29" s="1">
        <v>533</v>
      </c>
      <c r="L29" s="653">
        <v>0</v>
      </c>
      <c r="N29" s="657"/>
      <c r="O29" s="1">
        <v>0</v>
      </c>
      <c r="P29" s="655">
        <v>0</v>
      </c>
      <c r="R29" s="657"/>
      <c r="S29" s="653">
        <v>0</v>
      </c>
      <c r="T29" s="655">
        <v>0</v>
      </c>
      <c r="V29" s="657"/>
      <c r="W29" s="1">
        <v>0</v>
      </c>
      <c r="X29" s="655">
        <v>0</v>
      </c>
      <c r="Z29" s="653">
        <v>0</v>
      </c>
      <c r="AA29" s="653">
        <v>0</v>
      </c>
      <c r="AB29" s="653">
        <v>0</v>
      </c>
    </row>
    <row r="30" spans="1:28" x14ac:dyDescent="0.2">
      <c r="A30" s="8">
        <v>11600</v>
      </c>
      <c r="B30" s="8" t="s">
        <v>90</v>
      </c>
      <c r="C30" s="8" t="s">
        <v>68</v>
      </c>
      <c r="D30" s="29" t="s">
        <v>1</v>
      </c>
      <c r="E30" s="98" t="s">
        <v>184</v>
      </c>
      <c r="F30" s="1"/>
      <c r="G30" s="1">
        <v>0</v>
      </c>
      <c r="H30" s="655">
        <v>0</v>
      </c>
      <c r="J30" s="657"/>
      <c r="K30" s="1">
        <v>0</v>
      </c>
      <c r="L30" s="653">
        <v>0</v>
      </c>
      <c r="N30" s="657"/>
      <c r="O30" s="1">
        <v>0</v>
      </c>
      <c r="P30" s="655">
        <v>0</v>
      </c>
      <c r="R30" s="657"/>
      <c r="S30" s="653">
        <v>0</v>
      </c>
      <c r="T30" s="655">
        <v>0</v>
      </c>
      <c r="V30" s="657"/>
      <c r="W30" s="1">
        <v>0</v>
      </c>
      <c r="X30" s="655">
        <v>0</v>
      </c>
      <c r="Z30" s="653">
        <v>0</v>
      </c>
      <c r="AA30" s="653">
        <v>0</v>
      </c>
      <c r="AB30" s="653">
        <v>0</v>
      </c>
    </row>
    <row r="31" spans="1:28" x14ac:dyDescent="0.2">
      <c r="A31" s="8">
        <v>11650</v>
      </c>
      <c r="B31" s="8" t="s">
        <v>91</v>
      </c>
      <c r="C31" s="8" t="s">
        <v>23</v>
      </c>
      <c r="D31" s="29" t="s">
        <v>2</v>
      </c>
      <c r="E31" s="98">
        <v>0</v>
      </c>
      <c r="F31" s="1">
        <v>22456</v>
      </c>
      <c r="G31" s="1">
        <v>0</v>
      </c>
      <c r="H31" s="655">
        <v>22456</v>
      </c>
      <c r="J31" s="657"/>
      <c r="K31" s="1">
        <v>0</v>
      </c>
      <c r="L31" s="653">
        <v>0</v>
      </c>
      <c r="N31" s="657">
        <v>1782</v>
      </c>
      <c r="O31" s="1">
        <v>1782</v>
      </c>
      <c r="P31" s="655">
        <v>0</v>
      </c>
      <c r="R31" s="657"/>
      <c r="S31" s="653">
        <v>0</v>
      </c>
      <c r="T31" s="655">
        <v>0</v>
      </c>
      <c r="V31" s="657"/>
      <c r="W31" s="1">
        <v>0</v>
      </c>
      <c r="X31" s="655">
        <v>0</v>
      </c>
      <c r="Z31" s="653">
        <v>4305</v>
      </c>
      <c r="AA31" s="653">
        <v>4305</v>
      </c>
      <c r="AB31" s="653">
        <v>0</v>
      </c>
    </row>
    <row r="32" spans="1:28" x14ac:dyDescent="0.2">
      <c r="A32" s="8">
        <v>11700</v>
      </c>
      <c r="B32" s="8" t="s">
        <v>92</v>
      </c>
      <c r="C32" s="8" t="s">
        <v>38</v>
      </c>
      <c r="D32" s="29" t="s">
        <v>1</v>
      </c>
      <c r="E32" s="98" t="s">
        <v>187</v>
      </c>
      <c r="F32" s="1">
        <v>10</v>
      </c>
      <c r="G32" s="1">
        <v>10</v>
      </c>
      <c r="H32" s="655">
        <v>0</v>
      </c>
      <c r="J32" s="657">
        <v>1</v>
      </c>
      <c r="K32" s="1">
        <v>1</v>
      </c>
      <c r="L32" s="653">
        <v>0</v>
      </c>
      <c r="N32" s="657">
        <v>7</v>
      </c>
      <c r="O32" s="1">
        <v>7</v>
      </c>
      <c r="P32" s="655">
        <v>0</v>
      </c>
      <c r="R32" s="657">
        <v>2</v>
      </c>
      <c r="S32" s="653">
        <v>2</v>
      </c>
      <c r="T32" s="655">
        <v>0</v>
      </c>
      <c r="V32" s="657"/>
      <c r="W32" s="1">
        <v>0</v>
      </c>
      <c r="X32" s="655">
        <v>0</v>
      </c>
      <c r="Z32" s="653">
        <v>0</v>
      </c>
      <c r="AA32" s="653">
        <v>0</v>
      </c>
      <c r="AB32" s="653">
        <v>0</v>
      </c>
    </row>
    <row r="33" spans="1:28" x14ac:dyDescent="0.2">
      <c r="A33" s="8">
        <v>11720</v>
      </c>
      <c r="B33" s="8" t="s">
        <v>93</v>
      </c>
      <c r="C33" s="8" t="s">
        <v>23</v>
      </c>
      <c r="D33" s="29" t="s">
        <v>2</v>
      </c>
      <c r="E33" s="98" t="s">
        <v>193</v>
      </c>
      <c r="F33" s="1"/>
      <c r="G33" s="1">
        <v>0</v>
      </c>
      <c r="H33" s="655">
        <v>0</v>
      </c>
      <c r="J33" s="657"/>
      <c r="K33" s="1">
        <v>0</v>
      </c>
      <c r="L33" s="653">
        <v>0</v>
      </c>
      <c r="N33" s="657"/>
      <c r="O33" s="1">
        <v>0</v>
      </c>
      <c r="P33" s="655">
        <v>0</v>
      </c>
      <c r="R33" s="657"/>
      <c r="S33" s="653">
        <v>0</v>
      </c>
      <c r="T33" s="655">
        <v>0</v>
      </c>
      <c r="V33" s="657"/>
      <c r="W33" s="1">
        <v>0</v>
      </c>
      <c r="X33" s="655">
        <v>0</v>
      </c>
      <c r="Z33" s="653">
        <v>0</v>
      </c>
      <c r="AA33" s="653">
        <v>0</v>
      </c>
      <c r="AB33" s="653">
        <v>0</v>
      </c>
    </row>
    <row r="34" spans="1:28" x14ac:dyDescent="0.2">
      <c r="A34" s="8">
        <v>11730</v>
      </c>
      <c r="B34" s="8" t="s">
        <v>94</v>
      </c>
      <c r="C34" s="8" t="s">
        <v>19</v>
      </c>
      <c r="D34" s="29" t="s">
        <v>3</v>
      </c>
      <c r="E34" s="98">
        <v>0</v>
      </c>
      <c r="F34" s="1"/>
      <c r="G34" s="1">
        <v>0</v>
      </c>
      <c r="H34" s="655">
        <v>0</v>
      </c>
      <c r="J34" s="657"/>
      <c r="K34" s="1">
        <v>0</v>
      </c>
      <c r="L34" s="653">
        <v>0</v>
      </c>
      <c r="N34" s="657"/>
      <c r="O34" s="1">
        <v>0</v>
      </c>
      <c r="P34" s="655">
        <v>0</v>
      </c>
      <c r="R34" s="657"/>
      <c r="S34" s="653">
        <v>0</v>
      </c>
      <c r="T34" s="655">
        <v>0</v>
      </c>
      <c r="V34" s="657"/>
      <c r="W34" s="1">
        <v>0</v>
      </c>
      <c r="X34" s="655">
        <v>0</v>
      </c>
      <c r="Z34" s="653">
        <v>0</v>
      </c>
      <c r="AA34" s="653">
        <v>0</v>
      </c>
      <c r="AB34" s="653">
        <v>0</v>
      </c>
    </row>
    <row r="35" spans="1:28" x14ac:dyDescent="0.2">
      <c r="A35" s="8">
        <v>11750</v>
      </c>
      <c r="B35" s="8" t="s">
        <v>95</v>
      </c>
      <c r="C35" s="8" t="s">
        <v>38</v>
      </c>
      <c r="D35" s="29" t="s">
        <v>1</v>
      </c>
      <c r="E35" s="98" t="s">
        <v>192</v>
      </c>
      <c r="F35" s="1"/>
      <c r="G35" s="1">
        <v>0</v>
      </c>
      <c r="H35" s="655">
        <v>0</v>
      </c>
      <c r="J35" s="657"/>
      <c r="K35" s="1">
        <v>0</v>
      </c>
      <c r="L35" s="653">
        <v>0</v>
      </c>
      <c r="N35" s="657"/>
      <c r="O35" s="1">
        <v>0</v>
      </c>
      <c r="P35" s="655">
        <v>0</v>
      </c>
      <c r="R35" s="657"/>
      <c r="S35" s="653">
        <v>0</v>
      </c>
      <c r="T35" s="655">
        <v>0</v>
      </c>
      <c r="V35" s="657"/>
      <c r="W35" s="1">
        <v>0</v>
      </c>
      <c r="X35" s="655">
        <v>0</v>
      </c>
      <c r="Z35" s="653">
        <v>0</v>
      </c>
      <c r="AA35" s="653">
        <v>0</v>
      </c>
      <c r="AB35" s="653">
        <v>0</v>
      </c>
    </row>
    <row r="36" spans="1:28" x14ac:dyDescent="0.2">
      <c r="A36" s="8">
        <v>11800</v>
      </c>
      <c r="B36" s="8" t="s">
        <v>42</v>
      </c>
      <c r="C36" s="8" t="s">
        <v>39</v>
      </c>
      <c r="D36" s="29" t="s">
        <v>3</v>
      </c>
      <c r="E36" s="98">
        <v>0</v>
      </c>
      <c r="F36" s="1">
        <v>1063.05</v>
      </c>
      <c r="G36" s="1">
        <v>0</v>
      </c>
      <c r="H36" s="655">
        <v>1063.05</v>
      </c>
      <c r="J36" s="657">
        <v>67.56</v>
      </c>
      <c r="K36" s="1">
        <v>67.56</v>
      </c>
      <c r="L36" s="653">
        <v>0</v>
      </c>
      <c r="N36" s="657"/>
      <c r="O36" s="1">
        <v>0</v>
      </c>
      <c r="P36" s="655">
        <v>0</v>
      </c>
      <c r="R36" s="657"/>
      <c r="S36" s="653">
        <v>0</v>
      </c>
      <c r="T36" s="655">
        <v>0</v>
      </c>
      <c r="V36" s="657"/>
      <c r="W36" s="1">
        <v>0</v>
      </c>
      <c r="X36" s="655">
        <v>0</v>
      </c>
      <c r="Z36" s="653">
        <v>0</v>
      </c>
      <c r="AA36" s="653">
        <v>0</v>
      </c>
      <c r="AB36" s="653">
        <v>0</v>
      </c>
    </row>
    <row r="37" spans="1:28" x14ac:dyDescent="0.2">
      <c r="A37" s="8">
        <v>12000</v>
      </c>
      <c r="B37" s="8" t="s">
        <v>96</v>
      </c>
      <c r="C37" s="8" t="s">
        <v>21</v>
      </c>
      <c r="D37" s="29" t="s">
        <v>1</v>
      </c>
      <c r="E37" s="98" t="s">
        <v>190</v>
      </c>
      <c r="F37" s="1">
        <v>65</v>
      </c>
      <c r="G37" s="1">
        <v>0</v>
      </c>
      <c r="H37" s="655">
        <v>65</v>
      </c>
      <c r="J37" s="657"/>
      <c r="K37" s="1">
        <v>0</v>
      </c>
      <c r="L37" s="653">
        <v>0</v>
      </c>
      <c r="N37" s="657">
        <v>62</v>
      </c>
      <c r="O37" s="1">
        <v>62</v>
      </c>
      <c r="P37" s="655">
        <v>0</v>
      </c>
      <c r="R37" s="657"/>
      <c r="S37" s="653">
        <v>0</v>
      </c>
      <c r="T37" s="655">
        <v>0</v>
      </c>
      <c r="V37" s="657"/>
      <c r="W37" s="1">
        <v>0</v>
      </c>
      <c r="X37" s="655">
        <v>0</v>
      </c>
      <c r="Z37" s="653">
        <v>30</v>
      </c>
      <c r="AA37" s="653">
        <v>30</v>
      </c>
      <c r="AB37" s="653">
        <v>0</v>
      </c>
    </row>
    <row r="38" spans="1:28" x14ac:dyDescent="0.2">
      <c r="A38" s="8">
        <v>12150</v>
      </c>
      <c r="B38" s="8" t="s">
        <v>97</v>
      </c>
      <c r="C38" s="8" t="s">
        <v>38</v>
      </c>
      <c r="D38" s="29" t="s">
        <v>1</v>
      </c>
      <c r="E38" s="98">
        <v>0</v>
      </c>
      <c r="F38" s="1"/>
      <c r="G38" s="1">
        <v>0</v>
      </c>
      <c r="H38" s="655">
        <v>0</v>
      </c>
      <c r="J38" s="657"/>
      <c r="K38" s="1">
        <v>0</v>
      </c>
      <c r="L38" s="653">
        <v>0</v>
      </c>
      <c r="N38" s="657"/>
      <c r="O38" s="1">
        <v>0</v>
      </c>
      <c r="P38" s="655">
        <v>0</v>
      </c>
      <c r="R38" s="657"/>
      <c r="S38" s="653">
        <v>0</v>
      </c>
      <c r="T38" s="655">
        <v>0</v>
      </c>
      <c r="V38" s="657"/>
      <c r="W38" s="1">
        <v>0</v>
      </c>
      <c r="X38" s="655">
        <v>0</v>
      </c>
      <c r="Z38" s="653">
        <v>0</v>
      </c>
      <c r="AA38" s="653">
        <v>0</v>
      </c>
      <c r="AB38" s="653">
        <v>0</v>
      </c>
    </row>
    <row r="39" spans="1:28" x14ac:dyDescent="0.2">
      <c r="A39" s="8">
        <v>12160</v>
      </c>
      <c r="B39" s="8" t="s">
        <v>98</v>
      </c>
      <c r="C39" s="8" t="s">
        <v>21</v>
      </c>
      <c r="D39" s="29" t="s">
        <v>1</v>
      </c>
      <c r="E39" s="98" t="s">
        <v>190</v>
      </c>
      <c r="F39" s="1"/>
      <c r="G39" s="1">
        <v>0</v>
      </c>
      <c r="H39" s="655">
        <v>0</v>
      </c>
      <c r="J39" s="657"/>
      <c r="K39" s="1">
        <v>0</v>
      </c>
      <c r="L39" s="653">
        <v>0</v>
      </c>
      <c r="N39" s="657"/>
      <c r="O39" s="1">
        <v>0</v>
      </c>
      <c r="P39" s="655">
        <v>0</v>
      </c>
      <c r="R39" s="657"/>
      <c r="S39" s="653">
        <v>0</v>
      </c>
      <c r="T39" s="655">
        <v>0</v>
      </c>
      <c r="V39" s="657"/>
      <c r="W39" s="1">
        <v>0</v>
      </c>
      <c r="X39" s="655">
        <v>0</v>
      </c>
      <c r="Z39" s="653">
        <v>0</v>
      </c>
      <c r="AA39" s="653">
        <v>0</v>
      </c>
      <c r="AB39" s="653">
        <v>0</v>
      </c>
    </row>
    <row r="40" spans="1:28" x14ac:dyDescent="0.2">
      <c r="A40" s="8">
        <v>12350</v>
      </c>
      <c r="B40" s="8" t="s">
        <v>99</v>
      </c>
      <c r="C40" s="8" t="s">
        <v>38</v>
      </c>
      <c r="D40" s="29" t="s">
        <v>1</v>
      </c>
      <c r="E40" s="98" t="s">
        <v>188</v>
      </c>
      <c r="F40" s="1"/>
      <c r="G40" s="1">
        <v>0</v>
      </c>
      <c r="H40" s="655">
        <v>0</v>
      </c>
      <c r="J40" s="657"/>
      <c r="K40" s="1">
        <v>0</v>
      </c>
      <c r="L40" s="653">
        <v>0</v>
      </c>
      <c r="N40" s="657"/>
      <c r="O40" s="1">
        <v>0</v>
      </c>
      <c r="P40" s="655">
        <v>0</v>
      </c>
      <c r="R40" s="657"/>
      <c r="S40" s="653">
        <v>0</v>
      </c>
      <c r="T40" s="655">
        <v>0</v>
      </c>
      <c r="V40" s="657"/>
      <c r="W40" s="1">
        <v>0</v>
      </c>
      <c r="X40" s="655">
        <v>0</v>
      </c>
      <c r="Z40" s="653">
        <v>0</v>
      </c>
      <c r="AA40" s="653">
        <v>0</v>
      </c>
      <c r="AB40" s="653">
        <v>0</v>
      </c>
    </row>
    <row r="41" spans="1:28" x14ac:dyDescent="0.2">
      <c r="A41" s="8">
        <v>12380</v>
      </c>
      <c r="B41" s="8" t="s">
        <v>47</v>
      </c>
      <c r="C41" s="8" t="s">
        <v>18</v>
      </c>
      <c r="D41" s="29" t="s">
        <v>2</v>
      </c>
      <c r="E41" s="98">
        <v>0</v>
      </c>
      <c r="F41" s="1"/>
      <c r="G41" s="1">
        <v>0</v>
      </c>
      <c r="H41" s="655">
        <v>0</v>
      </c>
      <c r="J41" s="657"/>
      <c r="K41" s="1">
        <v>0</v>
      </c>
      <c r="L41" s="653">
        <v>0</v>
      </c>
      <c r="N41" s="657"/>
      <c r="O41" s="1">
        <v>0</v>
      </c>
      <c r="P41" s="655">
        <v>0</v>
      </c>
      <c r="R41" s="657"/>
      <c r="S41" s="653">
        <v>0</v>
      </c>
      <c r="T41" s="655">
        <v>0</v>
      </c>
      <c r="V41" s="657"/>
      <c r="W41" s="1">
        <v>0</v>
      </c>
      <c r="X41" s="655">
        <v>0</v>
      </c>
      <c r="Z41" s="653">
        <v>0</v>
      </c>
      <c r="AA41" s="653">
        <v>0</v>
      </c>
      <c r="AB41" s="653">
        <v>0</v>
      </c>
    </row>
    <row r="42" spans="1:28" x14ac:dyDescent="0.2">
      <c r="A42" s="8">
        <v>12390</v>
      </c>
      <c r="B42" s="8" t="s">
        <v>100</v>
      </c>
      <c r="C42" s="8" t="s">
        <v>38</v>
      </c>
      <c r="D42" s="29" t="s">
        <v>1</v>
      </c>
      <c r="E42" s="98">
        <v>0</v>
      </c>
      <c r="F42" s="1">
        <v>828.76</v>
      </c>
      <c r="G42" s="1">
        <v>0</v>
      </c>
      <c r="H42" s="655">
        <v>828.76</v>
      </c>
      <c r="J42" s="657"/>
      <c r="K42" s="1">
        <v>0</v>
      </c>
      <c r="L42" s="653">
        <v>0</v>
      </c>
      <c r="N42" s="657">
        <v>99.24</v>
      </c>
      <c r="O42" s="1">
        <v>99.24</v>
      </c>
      <c r="P42" s="655">
        <v>0</v>
      </c>
      <c r="R42" s="657">
        <v>45.18</v>
      </c>
      <c r="S42" s="653">
        <v>45.18</v>
      </c>
      <c r="T42" s="655">
        <v>0</v>
      </c>
      <c r="V42" s="657"/>
      <c r="W42" s="1">
        <v>0</v>
      </c>
      <c r="X42" s="655">
        <v>0</v>
      </c>
      <c r="Z42" s="653">
        <v>0</v>
      </c>
      <c r="AA42" s="653">
        <v>0</v>
      </c>
      <c r="AB42" s="653">
        <v>0</v>
      </c>
    </row>
    <row r="43" spans="1:28" x14ac:dyDescent="0.2">
      <c r="A43" s="8">
        <v>12700</v>
      </c>
      <c r="B43" s="8" t="s">
        <v>101</v>
      </c>
      <c r="C43" s="8" t="s">
        <v>23</v>
      </c>
      <c r="D43" s="29" t="s">
        <v>3</v>
      </c>
      <c r="E43" s="98" t="s">
        <v>193</v>
      </c>
      <c r="F43" s="1"/>
      <c r="G43" s="1">
        <v>0</v>
      </c>
      <c r="H43" s="655">
        <v>0</v>
      </c>
      <c r="J43" s="657"/>
      <c r="K43" s="1">
        <v>0</v>
      </c>
      <c r="L43" s="653">
        <v>0</v>
      </c>
      <c r="N43" s="657"/>
      <c r="O43" s="1">
        <v>0</v>
      </c>
      <c r="P43" s="655">
        <v>0</v>
      </c>
      <c r="R43" s="657"/>
      <c r="S43" s="653">
        <v>0</v>
      </c>
      <c r="T43" s="655">
        <v>0</v>
      </c>
      <c r="V43" s="657"/>
      <c r="W43" s="1">
        <v>0</v>
      </c>
      <c r="X43" s="655">
        <v>0</v>
      </c>
      <c r="Z43" s="653">
        <v>0</v>
      </c>
      <c r="AA43" s="653">
        <v>0</v>
      </c>
      <c r="AB43" s="653">
        <v>0</v>
      </c>
    </row>
    <row r="44" spans="1:28" x14ac:dyDescent="0.2">
      <c r="A44" s="8">
        <v>12730</v>
      </c>
      <c r="B44" s="8" t="s">
        <v>102</v>
      </c>
      <c r="C44" s="8" t="s">
        <v>66</v>
      </c>
      <c r="D44" s="29" t="s">
        <v>1</v>
      </c>
      <c r="E44" s="98" t="s">
        <v>184</v>
      </c>
      <c r="F44" s="1"/>
      <c r="G44" s="1">
        <v>0</v>
      </c>
      <c r="H44" s="655">
        <v>0</v>
      </c>
      <c r="J44" s="657"/>
      <c r="K44" s="1">
        <v>0</v>
      </c>
      <c r="L44" s="653">
        <v>0</v>
      </c>
      <c r="N44" s="657"/>
      <c r="O44" s="1">
        <v>0</v>
      </c>
      <c r="P44" s="655">
        <v>0</v>
      </c>
      <c r="R44" s="657"/>
      <c r="S44" s="653">
        <v>0</v>
      </c>
      <c r="T44" s="655">
        <v>0</v>
      </c>
      <c r="V44" s="657"/>
      <c r="W44" s="1">
        <v>0</v>
      </c>
      <c r="X44" s="655">
        <v>0</v>
      </c>
      <c r="Z44" s="653">
        <v>0</v>
      </c>
      <c r="AA44" s="653">
        <v>0</v>
      </c>
      <c r="AB44" s="653">
        <v>0</v>
      </c>
    </row>
    <row r="45" spans="1:28" x14ac:dyDescent="0.2">
      <c r="A45" s="8">
        <v>12750</v>
      </c>
      <c r="B45" s="8" t="s">
        <v>103</v>
      </c>
      <c r="C45" s="8" t="s">
        <v>67</v>
      </c>
      <c r="D45" s="29" t="s">
        <v>1</v>
      </c>
      <c r="E45" s="98" t="s">
        <v>67</v>
      </c>
      <c r="F45" s="1">
        <v>758.3</v>
      </c>
      <c r="G45" s="1">
        <v>51.17999999999995</v>
      </c>
      <c r="H45" s="655">
        <v>707.12</v>
      </c>
      <c r="J45" s="657"/>
      <c r="K45" s="1">
        <v>0</v>
      </c>
      <c r="L45" s="653">
        <v>0</v>
      </c>
      <c r="N45" s="657">
        <v>387.94</v>
      </c>
      <c r="O45" s="1">
        <v>387.94</v>
      </c>
      <c r="P45" s="655">
        <v>0</v>
      </c>
      <c r="R45" s="657"/>
      <c r="S45" s="653">
        <v>0</v>
      </c>
      <c r="T45" s="655">
        <v>0</v>
      </c>
      <c r="V45" s="657"/>
      <c r="W45" s="1">
        <v>0</v>
      </c>
      <c r="X45" s="655">
        <v>0</v>
      </c>
      <c r="Z45" s="653">
        <v>0</v>
      </c>
      <c r="AA45" s="653">
        <v>0</v>
      </c>
      <c r="AB45" s="653">
        <v>0</v>
      </c>
    </row>
    <row r="46" spans="1:28" x14ac:dyDescent="0.2">
      <c r="A46" s="8">
        <v>12850</v>
      </c>
      <c r="B46" s="8" t="s">
        <v>104</v>
      </c>
      <c r="C46" s="8" t="s">
        <v>18</v>
      </c>
      <c r="D46" s="29" t="s">
        <v>2</v>
      </c>
      <c r="E46" s="98">
        <v>0</v>
      </c>
      <c r="F46" s="1">
        <v>6896.74</v>
      </c>
      <c r="G46" s="1">
        <v>0</v>
      </c>
      <c r="H46" s="655">
        <v>6896.74</v>
      </c>
      <c r="J46" s="657"/>
      <c r="K46" s="1">
        <v>0</v>
      </c>
      <c r="L46" s="653">
        <v>0</v>
      </c>
      <c r="N46" s="657"/>
      <c r="O46" s="1">
        <v>0</v>
      </c>
      <c r="P46" s="655">
        <v>0</v>
      </c>
      <c r="R46" s="657"/>
      <c r="S46" s="653">
        <v>0</v>
      </c>
      <c r="T46" s="655">
        <v>0</v>
      </c>
      <c r="V46" s="657"/>
      <c r="W46" s="1">
        <v>0</v>
      </c>
      <c r="X46" s="655">
        <v>0</v>
      </c>
      <c r="Z46" s="653">
        <v>0</v>
      </c>
      <c r="AA46" s="653">
        <v>0</v>
      </c>
      <c r="AB46" s="653">
        <v>0</v>
      </c>
    </row>
    <row r="47" spans="1:28" x14ac:dyDescent="0.2">
      <c r="A47" s="8">
        <v>12870</v>
      </c>
      <c r="B47" s="8" t="s">
        <v>105</v>
      </c>
      <c r="C47" s="8" t="s">
        <v>66</v>
      </c>
      <c r="D47" s="29" t="s">
        <v>1</v>
      </c>
      <c r="E47" s="98" t="s">
        <v>184</v>
      </c>
      <c r="F47" s="1"/>
      <c r="G47" s="1">
        <v>0</v>
      </c>
      <c r="H47" s="655">
        <v>0</v>
      </c>
      <c r="J47" s="657"/>
      <c r="K47" s="1">
        <v>0</v>
      </c>
      <c r="L47" s="653">
        <v>0</v>
      </c>
      <c r="N47" s="657"/>
      <c r="O47" s="1">
        <v>0</v>
      </c>
      <c r="P47" s="655">
        <v>0</v>
      </c>
      <c r="R47" s="657"/>
      <c r="S47" s="653">
        <v>0</v>
      </c>
      <c r="T47" s="655">
        <v>0</v>
      </c>
      <c r="V47" s="657"/>
      <c r="W47" s="1">
        <v>0</v>
      </c>
      <c r="X47" s="655">
        <v>0</v>
      </c>
      <c r="Z47" s="653">
        <v>0</v>
      </c>
      <c r="AA47" s="653">
        <v>0</v>
      </c>
      <c r="AB47" s="653">
        <v>0</v>
      </c>
    </row>
    <row r="48" spans="1:28" x14ac:dyDescent="0.2">
      <c r="A48" s="8">
        <v>12900</v>
      </c>
      <c r="B48" s="8" t="s">
        <v>106</v>
      </c>
      <c r="C48" s="8" t="s">
        <v>38</v>
      </c>
      <c r="D48" s="29" t="s">
        <v>1</v>
      </c>
      <c r="E48" s="98" t="s">
        <v>188</v>
      </c>
      <c r="F48" s="1">
        <v>22</v>
      </c>
      <c r="G48" s="1">
        <v>0</v>
      </c>
      <c r="H48" s="655">
        <v>22</v>
      </c>
      <c r="J48" s="657">
        <v>5</v>
      </c>
      <c r="K48" s="1">
        <v>5</v>
      </c>
      <c r="L48" s="653">
        <v>0</v>
      </c>
      <c r="N48" s="657">
        <v>5</v>
      </c>
      <c r="O48" s="1">
        <v>5</v>
      </c>
      <c r="P48" s="655">
        <v>0</v>
      </c>
      <c r="R48" s="657"/>
      <c r="S48" s="653">
        <v>0</v>
      </c>
      <c r="T48" s="655">
        <v>0</v>
      </c>
      <c r="V48" s="657"/>
      <c r="W48" s="1">
        <v>0</v>
      </c>
      <c r="X48" s="655">
        <v>0</v>
      </c>
      <c r="Z48" s="653">
        <v>2</v>
      </c>
      <c r="AA48" s="653">
        <v>2</v>
      </c>
      <c r="AB48" s="653">
        <v>0</v>
      </c>
    </row>
    <row r="49" spans="1:28" x14ac:dyDescent="0.2">
      <c r="A49" s="8">
        <v>12930</v>
      </c>
      <c r="B49" s="8" t="s">
        <v>48</v>
      </c>
      <c r="C49" s="8" t="s">
        <v>17</v>
      </c>
      <c r="D49" s="29" t="s">
        <v>2</v>
      </c>
      <c r="E49" s="98">
        <v>0</v>
      </c>
      <c r="F49" s="1">
        <v>5031</v>
      </c>
      <c r="G49" s="1">
        <v>3656</v>
      </c>
      <c r="H49" s="655">
        <v>1375</v>
      </c>
      <c r="J49" s="657">
        <v>261.89999999999998</v>
      </c>
      <c r="K49" s="1">
        <v>196.89999999999998</v>
      </c>
      <c r="L49" s="653">
        <v>65</v>
      </c>
      <c r="N49" s="657">
        <v>0</v>
      </c>
      <c r="O49" s="1">
        <v>0</v>
      </c>
      <c r="P49" s="655">
        <v>0</v>
      </c>
      <c r="R49" s="657">
        <v>0</v>
      </c>
      <c r="S49" s="653">
        <v>0</v>
      </c>
      <c r="T49" s="655">
        <v>0</v>
      </c>
      <c r="V49" s="657">
        <v>0</v>
      </c>
      <c r="W49" s="1">
        <v>0</v>
      </c>
      <c r="X49" s="655">
        <v>0</v>
      </c>
      <c r="Z49" s="653">
        <v>0</v>
      </c>
      <c r="AA49" s="653">
        <v>0</v>
      </c>
      <c r="AB49" s="653">
        <v>0</v>
      </c>
    </row>
    <row r="50" spans="1:28" x14ac:dyDescent="0.2">
      <c r="A50" s="8">
        <v>12950</v>
      </c>
      <c r="B50" s="8" t="s">
        <v>107</v>
      </c>
      <c r="C50" s="8" t="s">
        <v>38</v>
      </c>
      <c r="D50" s="29" t="s">
        <v>1</v>
      </c>
      <c r="E50" s="98" t="s">
        <v>191</v>
      </c>
      <c r="F50" s="1"/>
      <c r="G50" s="1">
        <v>0</v>
      </c>
      <c r="H50" s="655">
        <v>0</v>
      </c>
      <c r="J50" s="657"/>
      <c r="K50" s="1">
        <v>0</v>
      </c>
      <c r="L50" s="653">
        <v>0</v>
      </c>
      <c r="N50" s="657"/>
      <c r="O50" s="1">
        <v>0</v>
      </c>
      <c r="P50" s="655">
        <v>0</v>
      </c>
      <c r="R50" s="657"/>
      <c r="S50" s="653">
        <v>0</v>
      </c>
      <c r="T50" s="655">
        <v>0</v>
      </c>
      <c r="V50" s="657"/>
      <c r="W50" s="1">
        <v>0</v>
      </c>
      <c r="X50" s="655">
        <v>0</v>
      </c>
      <c r="Z50" s="653">
        <v>0</v>
      </c>
      <c r="AA50" s="653">
        <v>0</v>
      </c>
      <c r="AB50" s="653">
        <v>0</v>
      </c>
    </row>
    <row r="51" spans="1:28" x14ac:dyDescent="0.2">
      <c r="A51" s="8">
        <v>13010</v>
      </c>
      <c r="B51" s="8" t="s">
        <v>108</v>
      </c>
      <c r="C51" s="8" t="s">
        <v>16</v>
      </c>
      <c r="D51" s="29" t="s">
        <v>1</v>
      </c>
      <c r="E51" s="98" t="s">
        <v>185</v>
      </c>
      <c r="F51" s="1"/>
      <c r="G51" s="1">
        <v>0</v>
      </c>
      <c r="H51" s="655">
        <v>0</v>
      </c>
      <c r="J51" s="657"/>
      <c r="K51" s="1">
        <v>0</v>
      </c>
      <c r="L51" s="653">
        <v>0</v>
      </c>
      <c r="N51" s="657"/>
      <c r="O51" s="1">
        <v>0</v>
      </c>
      <c r="P51" s="655">
        <v>0</v>
      </c>
      <c r="R51" s="657"/>
      <c r="S51" s="653">
        <v>0</v>
      </c>
      <c r="T51" s="655">
        <v>0</v>
      </c>
      <c r="V51" s="657"/>
      <c r="W51" s="1">
        <v>0</v>
      </c>
      <c r="X51" s="655">
        <v>0</v>
      </c>
      <c r="Z51" s="653">
        <v>0</v>
      </c>
      <c r="AA51" s="653">
        <v>0</v>
      </c>
      <c r="AB51" s="653">
        <v>0</v>
      </c>
    </row>
    <row r="52" spans="1:28" x14ac:dyDescent="0.2">
      <c r="A52" s="8">
        <v>13310</v>
      </c>
      <c r="B52" s="8" t="s">
        <v>109</v>
      </c>
      <c r="C52" s="8" t="s">
        <v>67</v>
      </c>
      <c r="D52" s="29" t="s">
        <v>1</v>
      </c>
      <c r="E52" s="98" t="s">
        <v>67</v>
      </c>
      <c r="F52" s="1">
        <v>201.15</v>
      </c>
      <c r="G52" s="1">
        <v>0</v>
      </c>
      <c r="H52" s="655">
        <v>201.15</v>
      </c>
      <c r="J52" s="657">
        <v>14.1</v>
      </c>
      <c r="K52" s="1">
        <v>14.1</v>
      </c>
      <c r="L52" s="653">
        <v>0</v>
      </c>
      <c r="N52" s="657">
        <v>90.45</v>
      </c>
      <c r="O52" s="1">
        <v>90.45</v>
      </c>
      <c r="P52" s="655">
        <v>0</v>
      </c>
      <c r="R52" s="657">
        <v>17.850000000000001</v>
      </c>
      <c r="S52" s="653">
        <v>17.850000000000001</v>
      </c>
      <c r="T52" s="655">
        <v>0</v>
      </c>
      <c r="V52" s="657"/>
      <c r="W52" s="1">
        <v>0</v>
      </c>
      <c r="X52" s="655">
        <v>0</v>
      </c>
      <c r="Z52" s="653">
        <v>7.5</v>
      </c>
      <c r="AA52" s="653">
        <v>7.5</v>
      </c>
      <c r="AB52" s="653">
        <v>0</v>
      </c>
    </row>
    <row r="53" spans="1:28" x14ac:dyDescent="0.2">
      <c r="A53" s="8">
        <v>13340</v>
      </c>
      <c r="B53" s="8" t="s">
        <v>110</v>
      </c>
      <c r="C53" s="8" t="s">
        <v>21</v>
      </c>
      <c r="D53" s="29" t="s">
        <v>1</v>
      </c>
      <c r="E53" s="98" t="s">
        <v>190</v>
      </c>
      <c r="F53" s="1"/>
      <c r="G53" s="1">
        <v>0</v>
      </c>
      <c r="H53" s="655">
        <v>0</v>
      </c>
      <c r="J53" s="657"/>
      <c r="K53" s="1">
        <v>0</v>
      </c>
      <c r="L53" s="653">
        <v>0</v>
      </c>
      <c r="N53" s="657"/>
      <c r="O53" s="1">
        <v>0</v>
      </c>
      <c r="P53" s="655">
        <v>0</v>
      </c>
      <c r="R53" s="657"/>
      <c r="S53" s="653">
        <v>0</v>
      </c>
      <c r="T53" s="655">
        <v>0</v>
      </c>
      <c r="V53" s="657"/>
      <c r="W53" s="1">
        <v>0</v>
      </c>
      <c r="X53" s="655">
        <v>0</v>
      </c>
      <c r="Z53" s="653">
        <v>0</v>
      </c>
      <c r="AA53" s="653">
        <v>0</v>
      </c>
      <c r="AB53" s="653">
        <v>0</v>
      </c>
    </row>
    <row r="54" spans="1:28" x14ac:dyDescent="0.2">
      <c r="A54" s="8">
        <v>13450</v>
      </c>
      <c r="B54" s="8" t="s">
        <v>111</v>
      </c>
      <c r="C54" s="8" t="s">
        <v>68</v>
      </c>
      <c r="D54" s="29" t="s">
        <v>1</v>
      </c>
      <c r="E54" s="98" t="s">
        <v>184</v>
      </c>
      <c r="F54" s="1"/>
      <c r="G54" s="1">
        <v>0</v>
      </c>
      <c r="H54" s="655">
        <v>0</v>
      </c>
      <c r="J54" s="657"/>
      <c r="K54" s="1">
        <v>0</v>
      </c>
      <c r="L54" s="653">
        <v>0</v>
      </c>
      <c r="N54" s="657"/>
      <c r="O54" s="1">
        <v>0</v>
      </c>
      <c r="P54" s="655">
        <v>0</v>
      </c>
      <c r="R54" s="657"/>
      <c r="S54" s="653">
        <v>0</v>
      </c>
      <c r="T54" s="655">
        <v>0</v>
      </c>
      <c r="V54" s="657"/>
      <c r="W54" s="1">
        <v>0</v>
      </c>
      <c r="X54" s="655">
        <v>0</v>
      </c>
      <c r="Z54" s="653">
        <v>0</v>
      </c>
      <c r="AA54" s="653">
        <v>0</v>
      </c>
      <c r="AB54" s="653">
        <v>0</v>
      </c>
    </row>
    <row r="55" spans="1:28" x14ac:dyDescent="0.2">
      <c r="A55" s="8">
        <v>13550</v>
      </c>
      <c r="B55" s="8" t="s">
        <v>70</v>
      </c>
      <c r="C55" s="8" t="s">
        <v>16</v>
      </c>
      <c r="D55" s="29" t="s">
        <v>1</v>
      </c>
      <c r="E55" s="98" t="s">
        <v>194</v>
      </c>
      <c r="F55" s="1"/>
      <c r="G55" s="1">
        <v>0</v>
      </c>
      <c r="H55" s="655">
        <v>0</v>
      </c>
      <c r="J55" s="657"/>
      <c r="K55" s="1">
        <v>0</v>
      </c>
      <c r="L55" s="653">
        <v>0</v>
      </c>
      <c r="N55" s="657"/>
      <c r="O55" s="1">
        <v>0</v>
      </c>
      <c r="P55" s="655">
        <v>0</v>
      </c>
      <c r="R55" s="657"/>
      <c r="S55" s="653">
        <v>0</v>
      </c>
      <c r="T55" s="655">
        <v>0</v>
      </c>
      <c r="V55" s="657"/>
      <c r="W55" s="1">
        <v>0</v>
      </c>
      <c r="X55" s="655">
        <v>0</v>
      </c>
      <c r="Z55" s="653">
        <v>0</v>
      </c>
      <c r="AA55" s="653">
        <v>0</v>
      </c>
      <c r="AB55" s="653">
        <v>0</v>
      </c>
    </row>
    <row r="56" spans="1:28" x14ac:dyDescent="0.2">
      <c r="A56" s="8">
        <v>13660</v>
      </c>
      <c r="B56" s="8" t="s">
        <v>112</v>
      </c>
      <c r="C56" s="8" t="s">
        <v>16</v>
      </c>
      <c r="D56" s="29" t="s">
        <v>1</v>
      </c>
      <c r="E56" s="98" t="s">
        <v>194</v>
      </c>
      <c r="F56" s="1"/>
      <c r="G56" s="1">
        <v>0</v>
      </c>
      <c r="H56" s="655">
        <v>0</v>
      </c>
      <c r="J56" s="657"/>
      <c r="K56" s="1">
        <v>0</v>
      </c>
      <c r="L56" s="653">
        <v>0</v>
      </c>
      <c r="N56" s="657"/>
      <c r="O56" s="1">
        <v>0</v>
      </c>
      <c r="P56" s="655">
        <v>0</v>
      </c>
      <c r="R56" s="657"/>
      <c r="S56" s="653">
        <v>0</v>
      </c>
      <c r="T56" s="655">
        <v>0</v>
      </c>
      <c r="V56" s="657"/>
      <c r="W56" s="1">
        <v>0</v>
      </c>
      <c r="X56" s="655">
        <v>0</v>
      </c>
      <c r="Z56" s="653">
        <v>0</v>
      </c>
      <c r="AA56" s="653">
        <v>0</v>
      </c>
      <c r="AB56" s="653">
        <v>0</v>
      </c>
    </row>
    <row r="57" spans="1:28" x14ac:dyDescent="0.2">
      <c r="A57" s="8">
        <v>13800</v>
      </c>
      <c r="B57" s="8" t="s">
        <v>113</v>
      </c>
      <c r="C57" s="8" t="s">
        <v>18</v>
      </c>
      <c r="D57" s="29" t="s">
        <v>2</v>
      </c>
      <c r="E57" s="98">
        <v>0</v>
      </c>
      <c r="F57" s="1">
        <v>1696</v>
      </c>
      <c r="G57" s="1">
        <v>848</v>
      </c>
      <c r="H57" s="655">
        <v>848</v>
      </c>
      <c r="J57" s="657">
        <v>27.9</v>
      </c>
      <c r="K57" s="1">
        <v>27.9</v>
      </c>
      <c r="L57" s="653">
        <v>0</v>
      </c>
      <c r="N57" s="657"/>
      <c r="O57" s="1">
        <v>0</v>
      </c>
      <c r="P57" s="655">
        <v>0</v>
      </c>
      <c r="R57" s="657"/>
      <c r="S57" s="653">
        <v>0</v>
      </c>
      <c r="T57" s="655">
        <v>0</v>
      </c>
      <c r="V57" s="657"/>
      <c r="W57" s="1">
        <v>0</v>
      </c>
      <c r="X57" s="655">
        <v>0</v>
      </c>
      <c r="Z57" s="653">
        <v>0</v>
      </c>
      <c r="AA57" s="653">
        <v>0</v>
      </c>
      <c r="AB57" s="653">
        <v>0</v>
      </c>
    </row>
    <row r="58" spans="1:28" x14ac:dyDescent="0.2">
      <c r="A58" s="8">
        <v>13850</v>
      </c>
      <c r="B58" s="8" t="s">
        <v>114</v>
      </c>
      <c r="C58" s="8" t="s">
        <v>68</v>
      </c>
      <c r="D58" s="29" t="s">
        <v>1</v>
      </c>
      <c r="E58" s="98" t="s">
        <v>184</v>
      </c>
      <c r="F58" s="1"/>
      <c r="G58" s="1">
        <v>0</v>
      </c>
      <c r="H58" s="655">
        <v>0</v>
      </c>
      <c r="J58" s="657"/>
      <c r="K58" s="1">
        <v>0</v>
      </c>
      <c r="L58" s="653">
        <v>0</v>
      </c>
      <c r="N58" s="657"/>
      <c r="O58" s="1">
        <v>0</v>
      </c>
      <c r="P58" s="655">
        <v>0</v>
      </c>
      <c r="R58" s="657"/>
      <c r="S58" s="653">
        <v>0</v>
      </c>
      <c r="T58" s="655">
        <v>0</v>
      </c>
      <c r="V58" s="657"/>
      <c r="W58" s="1">
        <v>0</v>
      </c>
      <c r="X58" s="655">
        <v>0</v>
      </c>
      <c r="Z58" s="653">
        <v>0</v>
      </c>
      <c r="AA58" s="653">
        <v>0</v>
      </c>
      <c r="AB58" s="653">
        <v>0</v>
      </c>
    </row>
    <row r="59" spans="1:28" x14ac:dyDescent="0.2">
      <c r="A59" s="8">
        <v>13910</v>
      </c>
      <c r="B59" s="8" t="s">
        <v>115</v>
      </c>
      <c r="C59" s="8" t="s">
        <v>67</v>
      </c>
      <c r="D59" s="29" t="s">
        <v>1</v>
      </c>
      <c r="E59" s="98" t="s">
        <v>67</v>
      </c>
      <c r="F59" s="1"/>
      <c r="G59" s="1">
        <v>0</v>
      </c>
      <c r="H59" s="655">
        <v>0</v>
      </c>
      <c r="J59" s="657"/>
      <c r="K59" s="1">
        <v>0</v>
      </c>
      <c r="L59" s="653">
        <v>0</v>
      </c>
      <c r="N59" s="657"/>
      <c r="O59" s="1">
        <v>0</v>
      </c>
      <c r="P59" s="655">
        <v>0</v>
      </c>
      <c r="R59" s="657"/>
      <c r="S59" s="653">
        <v>0</v>
      </c>
      <c r="T59" s="655">
        <v>0</v>
      </c>
      <c r="V59" s="657"/>
      <c r="W59" s="1">
        <v>0</v>
      </c>
      <c r="X59" s="655">
        <v>0</v>
      </c>
      <c r="Z59" s="653">
        <v>0</v>
      </c>
      <c r="AA59" s="653">
        <v>0</v>
      </c>
      <c r="AB59" s="653">
        <v>0</v>
      </c>
    </row>
    <row r="60" spans="1:28" x14ac:dyDescent="0.2">
      <c r="A60" s="8">
        <v>14000</v>
      </c>
      <c r="B60" s="8" t="s">
        <v>116</v>
      </c>
      <c r="C60" s="8" t="s">
        <v>24</v>
      </c>
      <c r="D60" s="29" t="s">
        <v>2</v>
      </c>
      <c r="E60" s="98">
        <v>0</v>
      </c>
      <c r="F60" s="1"/>
      <c r="G60" s="1">
        <v>0</v>
      </c>
      <c r="H60" s="655">
        <v>0</v>
      </c>
      <c r="J60" s="657"/>
      <c r="K60" s="1">
        <v>0</v>
      </c>
      <c r="L60" s="653">
        <v>0</v>
      </c>
      <c r="N60" s="657"/>
      <c r="O60" s="1">
        <v>0</v>
      </c>
      <c r="P60" s="655">
        <v>0</v>
      </c>
      <c r="R60" s="657"/>
      <c r="S60" s="653">
        <v>0</v>
      </c>
      <c r="T60" s="655">
        <v>0</v>
      </c>
      <c r="V60" s="657"/>
      <c r="W60" s="1">
        <v>0</v>
      </c>
      <c r="X60" s="655">
        <v>0</v>
      </c>
      <c r="Z60" s="653">
        <v>0</v>
      </c>
      <c r="AA60" s="653">
        <v>0</v>
      </c>
      <c r="AB60" s="653">
        <v>0</v>
      </c>
    </row>
    <row r="61" spans="1:28" x14ac:dyDescent="0.2">
      <c r="A61" s="8">
        <v>14100</v>
      </c>
      <c r="B61" s="8" t="s">
        <v>49</v>
      </c>
      <c r="C61" s="8" t="s">
        <v>24</v>
      </c>
      <c r="D61" s="29" t="s">
        <v>2</v>
      </c>
      <c r="E61" s="98">
        <v>0</v>
      </c>
      <c r="F61" s="1">
        <v>261.5</v>
      </c>
      <c r="G61" s="1">
        <v>122.25</v>
      </c>
      <c r="H61" s="655">
        <v>139.25</v>
      </c>
      <c r="J61" s="657"/>
      <c r="K61" s="1">
        <v>0</v>
      </c>
      <c r="L61" s="653">
        <v>0</v>
      </c>
      <c r="N61" s="657"/>
      <c r="O61" s="1">
        <v>0</v>
      </c>
      <c r="P61" s="655">
        <v>0</v>
      </c>
      <c r="R61" s="657"/>
      <c r="S61" s="653">
        <v>0</v>
      </c>
      <c r="T61" s="655">
        <v>0</v>
      </c>
      <c r="V61" s="657"/>
      <c r="W61" s="1">
        <v>0</v>
      </c>
      <c r="X61" s="655">
        <v>0</v>
      </c>
      <c r="Z61" s="653">
        <v>0</v>
      </c>
      <c r="AA61" s="653">
        <v>0</v>
      </c>
      <c r="AB61" s="653">
        <v>0</v>
      </c>
    </row>
    <row r="62" spans="1:28" x14ac:dyDescent="0.2">
      <c r="A62" s="8">
        <v>14170</v>
      </c>
      <c r="B62" s="8" t="s">
        <v>50</v>
      </c>
      <c r="C62" s="8" t="s">
        <v>17</v>
      </c>
      <c r="D62" s="29" t="s">
        <v>2</v>
      </c>
      <c r="E62" s="98">
        <v>0</v>
      </c>
      <c r="F62" s="1"/>
      <c r="G62" s="1">
        <v>0</v>
      </c>
      <c r="H62" s="655">
        <v>0</v>
      </c>
      <c r="J62" s="657"/>
      <c r="K62" s="1">
        <v>0</v>
      </c>
      <c r="L62" s="653">
        <v>0</v>
      </c>
      <c r="N62" s="657"/>
      <c r="O62" s="1">
        <v>0</v>
      </c>
      <c r="P62" s="655">
        <v>0</v>
      </c>
      <c r="R62" s="657"/>
      <c r="S62" s="653">
        <v>0</v>
      </c>
      <c r="T62" s="655">
        <v>0</v>
      </c>
      <c r="V62" s="657"/>
      <c r="W62" s="1">
        <v>0</v>
      </c>
      <c r="X62" s="655">
        <v>0</v>
      </c>
      <c r="Z62" s="653">
        <v>0</v>
      </c>
      <c r="AA62" s="653">
        <v>0</v>
      </c>
      <c r="AB62" s="653">
        <v>0</v>
      </c>
    </row>
    <row r="63" spans="1:28" x14ac:dyDescent="0.2">
      <c r="A63" s="8">
        <v>14220</v>
      </c>
      <c r="B63" s="8" t="s">
        <v>117</v>
      </c>
      <c r="C63" s="8" t="s">
        <v>16</v>
      </c>
      <c r="D63" s="29" t="s">
        <v>1</v>
      </c>
      <c r="E63" s="98" t="s">
        <v>185</v>
      </c>
      <c r="F63" s="1"/>
      <c r="G63" s="1">
        <v>0</v>
      </c>
      <c r="H63" s="655">
        <v>0</v>
      </c>
      <c r="J63" s="657"/>
      <c r="K63" s="1">
        <v>0</v>
      </c>
      <c r="L63" s="653">
        <v>0</v>
      </c>
      <c r="N63" s="657">
        <v>5.82</v>
      </c>
      <c r="O63" s="1">
        <v>5.82</v>
      </c>
      <c r="P63" s="655">
        <v>0</v>
      </c>
      <c r="R63" s="657"/>
      <c r="S63" s="653">
        <v>0</v>
      </c>
      <c r="T63" s="655">
        <v>0</v>
      </c>
      <c r="V63" s="657"/>
      <c r="W63" s="1">
        <v>0</v>
      </c>
      <c r="X63" s="655">
        <v>0</v>
      </c>
      <c r="Z63" s="653">
        <v>0</v>
      </c>
      <c r="AA63" s="653">
        <v>0</v>
      </c>
      <c r="AB63" s="653">
        <v>0</v>
      </c>
    </row>
    <row r="64" spans="1:28" x14ac:dyDescent="0.2">
      <c r="A64" s="8">
        <v>14300</v>
      </c>
      <c r="B64" s="8" t="s">
        <v>118</v>
      </c>
      <c r="C64" s="8" t="s">
        <v>21</v>
      </c>
      <c r="D64" s="29" t="s">
        <v>1</v>
      </c>
      <c r="E64" s="98" t="s">
        <v>190</v>
      </c>
      <c r="F64" s="1"/>
      <c r="G64" s="1">
        <v>0</v>
      </c>
      <c r="H64" s="655">
        <v>0</v>
      </c>
      <c r="J64" s="657"/>
      <c r="K64" s="1">
        <v>0</v>
      </c>
      <c r="L64" s="653">
        <v>0</v>
      </c>
      <c r="N64" s="657"/>
      <c r="O64" s="1">
        <v>0</v>
      </c>
      <c r="P64" s="655">
        <v>0</v>
      </c>
      <c r="R64" s="657"/>
      <c r="S64" s="653">
        <v>0</v>
      </c>
      <c r="T64" s="655">
        <v>0</v>
      </c>
      <c r="V64" s="657"/>
      <c r="W64" s="1">
        <v>0</v>
      </c>
      <c r="X64" s="655">
        <v>0</v>
      </c>
      <c r="Z64" s="653">
        <v>0</v>
      </c>
      <c r="AA64" s="653">
        <v>0</v>
      </c>
      <c r="AB64" s="653">
        <v>0</v>
      </c>
    </row>
    <row r="65" spans="1:28" x14ac:dyDescent="0.2">
      <c r="A65" s="8">
        <v>14350</v>
      </c>
      <c r="B65" s="8" t="s">
        <v>119</v>
      </c>
      <c r="C65" s="8" t="s">
        <v>39</v>
      </c>
      <c r="D65" s="29" t="s">
        <v>3</v>
      </c>
      <c r="E65" s="98" t="s">
        <v>189</v>
      </c>
      <c r="F65" s="1"/>
      <c r="G65" s="1">
        <v>0</v>
      </c>
      <c r="H65" s="655">
        <v>0</v>
      </c>
      <c r="J65" s="657"/>
      <c r="K65" s="1">
        <v>0</v>
      </c>
      <c r="L65" s="653">
        <v>0</v>
      </c>
      <c r="N65" s="657"/>
      <c r="O65" s="1">
        <v>0</v>
      </c>
      <c r="P65" s="655">
        <v>0</v>
      </c>
      <c r="R65" s="657"/>
      <c r="S65" s="653">
        <v>0</v>
      </c>
      <c r="T65" s="655">
        <v>0</v>
      </c>
      <c r="V65" s="657"/>
      <c r="W65" s="1">
        <v>0</v>
      </c>
      <c r="X65" s="655">
        <v>0</v>
      </c>
      <c r="Z65" s="653">
        <v>0</v>
      </c>
      <c r="AA65" s="653">
        <v>0</v>
      </c>
      <c r="AB65" s="653">
        <v>0</v>
      </c>
    </row>
    <row r="66" spans="1:28" x14ac:dyDescent="0.2">
      <c r="A66" s="8">
        <v>14400</v>
      </c>
      <c r="B66" s="8" t="s">
        <v>120</v>
      </c>
      <c r="C66" s="8" t="s">
        <v>37</v>
      </c>
      <c r="D66" s="29" t="s">
        <v>2</v>
      </c>
      <c r="E66" s="98" t="s">
        <v>37</v>
      </c>
      <c r="F66" s="1">
        <v>21.26</v>
      </c>
      <c r="G66" s="1">
        <v>0</v>
      </c>
      <c r="H66" s="655">
        <v>21.26</v>
      </c>
      <c r="J66" s="657"/>
      <c r="K66" s="1">
        <v>0</v>
      </c>
      <c r="L66" s="653">
        <v>0</v>
      </c>
      <c r="N66" s="657"/>
      <c r="O66" s="1">
        <v>0</v>
      </c>
      <c r="P66" s="655">
        <v>0</v>
      </c>
      <c r="R66" s="657"/>
      <c r="S66" s="653">
        <v>0</v>
      </c>
      <c r="T66" s="655">
        <v>0</v>
      </c>
      <c r="V66" s="657"/>
      <c r="W66" s="1">
        <v>0</v>
      </c>
      <c r="X66" s="655">
        <v>0</v>
      </c>
      <c r="Z66" s="653">
        <v>0</v>
      </c>
      <c r="AA66" s="653">
        <v>0</v>
      </c>
      <c r="AB66" s="653">
        <v>0</v>
      </c>
    </row>
    <row r="67" spans="1:28" x14ac:dyDescent="0.2">
      <c r="A67" s="8">
        <v>14500</v>
      </c>
      <c r="B67" s="8" t="s">
        <v>51</v>
      </c>
      <c r="C67" s="8" t="s">
        <v>24</v>
      </c>
      <c r="D67" s="29" t="s">
        <v>2</v>
      </c>
      <c r="E67" s="98">
        <v>0</v>
      </c>
      <c r="F67" s="1">
        <v>3352.28</v>
      </c>
      <c r="G67" s="1">
        <v>1691.9</v>
      </c>
      <c r="H67" s="655">
        <v>1660.38</v>
      </c>
      <c r="J67" s="657">
        <v>399.28</v>
      </c>
      <c r="K67" s="1">
        <v>399.28</v>
      </c>
      <c r="L67" s="653">
        <v>0</v>
      </c>
      <c r="N67" s="657"/>
      <c r="O67" s="1">
        <v>0</v>
      </c>
      <c r="P67" s="655">
        <v>0</v>
      </c>
      <c r="R67" s="657">
        <v>39.74</v>
      </c>
      <c r="S67" s="653">
        <v>39.74</v>
      </c>
      <c r="T67" s="655">
        <v>0</v>
      </c>
      <c r="V67" s="657"/>
      <c r="W67" s="1">
        <v>0</v>
      </c>
      <c r="X67" s="655">
        <v>0</v>
      </c>
      <c r="Z67" s="653">
        <v>195.16</v>
      </c>
      <c r="AA67" s="653">
        <v>195.16</v>
      </c>
      <c r="AB67" s="653">
        <v>0</v>
      </c>
    </row>
    <row r="68" spans="1:28" x14ac:dyDescent="0.2">
      <c r="A68" s="8">
        <v>14550</v>
      </c>
      <c r="B68" s="8" t="s">
        <v>121</v>
      </c>
      <c r="C68" s="8" t="s">
        <v>19</v>
      </c>
      <c r="D68" s="29" t="s">
        <v>3</v>
      </c>
      <c r="E68" s="98" t="s">
        <v>186</v>
      </c>
      <c r="F68" s="1"/>
      <c r="G68" s="1">
        <v>0</v>
      </c>
      <c r="H68" s="655">
        <v>0</v>
      </c>
      <c r="J68" s="657"/>
      <c r="K68" s="1">
        <v>0</v>
      </c>
      <c r="L68" s="653">
        <v>0</v>
      </c>
      <c r="N68" s="657"/>
      <c r="O68" s="1">
        <v>0</v>
      </c>
      <c r="P68" s="655">
        <v>0</v>
      </c>
      <c r="R68" s="657"/>
      <c r="S68" s="653">
        <v>0</v>
      </c>
      <c r="T68" s="655">
        <v>0</v>
      </c>
      <c r="V68" s="657"/>
      <c r="W68" s="1">
        <v>0</v>
      </c>
      <c r="X68" s="655">
        <v>0</v>
      </c>
      <c r="Z68" s="653">
        <v>0</v>
      </c>
      <c r="AA68" s="653">
        <v>0</v>
      </c>
      <c r="AB68" s="653">
        <v>0</v>
      </c>
    </row>
    <row r="69" spans="1:28" x14ac:dyDescent="0.2">
      <c r="A69" s="8">
        <v>14600</v>
      </c>
      <c r="B69" s="8" t="s">
        <v>122</v>
      </c>
      <c r="C69" s="8" t="s">
        <v>38</v>
      </c>
      <c r="D69" s="29" t="s">
        <v>1</v>
      </c>
      <c r="E69" s="98" t="s">
        <v>188</v>
      </c>
      <c r="F69" s="1"/>
      <c r="G69" s="1">
        <v>0</v>
      </c>
      <c r="H69" s="655">
        <v>0</v>
      </c>
      <c r="J69" s="657"/>
      <c r="K69" s="1">
        <v>0</v>
      </c>
      <c r="L69" s="653">
        <v>0</v>
      </c>
      <c r="N69" s="657"/>
      <c r="O69" s="1">
        <v>0</v>
      </c>
      <c r="P69" s="655">
        <v>0</v>
      </c>
      <c r="R69" s="657"/>
      <c r="S69" s="653">
        <v>0</v>
      </c>
      <c r="T69" s="655">
        <v>0</v>
      </c>
      <c r="V69" s="657"/>
      <c r="W69" s="1">
        <v>0</v>
      </c>
      <c r="X69" s="655">
        <v>0</v>
      </c>
      <c r="Z69" s="653">
        <v>0</v>
      </c>
      <c r="AA69" s="653">
        <v>0</v>
      </c>
      <c r="AB69" s="653">
        <v>0</v>
      </c>
    </row>
    <row r="70" spans="1:28" x14ac:dyDescent="0.2">
      <c r="A70" s="8">
        <v>14650</v>
      </c>
      <c r="B70" s="8" t="s">
        <v>123</v>
      </c>
      <c r="C70" s="8" t="s">
        <v>23</v>
      </c>
      <c r="D70" s="29" t="s">
        <v>2</v>
      </c>
      <c r="E70" s="98" t="s">
        <v>193</v>
      </c>
      <c r="F70" s="1">
        <v>9163.42</v>
      </c>
      <c r="G70" s="1">
        <v>0</v>
      </c>
      <c r="H70" s="655">
        <v>9163.42</v>
      </c>
      <c r="J70" s="657">
        <v>215.17</v>
      </c>
      <c r="K70" s="1">
        <v>215.17</v>
      </c>
      <c r="L70" s="653">
        <v>0</v>
      </c>
      <c r="N70" s="657">
        <v>626.89</v>
      </c>
      <c r="O70" s="1">
        <v>626.89</v>
      </c>
      <c r="P70" s="655">
        <v>0</v>
      </c>
      <c r="R70" s="657">
        <v>45.1</v>
      </c>
      <c r="S70" s="653">
        <v>45.1</v>
      </c>
      <c r="T70" s="655">
        <v>0</v>
      </c>
      <c r="V70" s="657"/>
      <c r="W70" s="1">
        <v>0</v>
      </c>
      <c r="X70" s="655">
        <v>0</v>
      </c>
      <c r="Z70" s="653">
        <v>309.08</v>
      </c>
      <c r="AA70" s="653">
        <v>309.08</v>
      </c>
      <c r="AB70" s="653">
        <v>0</v>
      </c>
    </row>
    <row r="71" spans="1:28" x14ac:dyDescent="0.2">
      <c r="A71" s="8">
        <v>14700</v>
      </c>
      <c r="B71" s="8" t="s">
        <v>52</v>
      </c>
      <c r="C71" s="8" t="s">
        <v>24</v>
      </c>
      <c r="D71" s="29" t="s">
        <v>2</v>
      </c>
      <c r="E71" s="98">
        <v>0</v>
      </c>
      <c r="F71" s="1">
        <v>1015.5</v>
      </c>
      <c r="G71" s="1">
        <v>474.11</v>
      </c>
      <c r="H71" s="655">
        <v>541.39</v>
      </c>
      <c r="J71" s="657"/>
      <c r="K71" s="1">
        <v>0</v>
      </c>
      <c r="L71" s="653">
        <v>0</v>
      </c>
      <c r="N71" s="657"/>
      <c r="O71" s="1">
        <v>0</v>
      </c>
      <c r="P71" s="655">
        <v>0</v>
      </c>
      <c r="R71" s="657"/>
      <c r="S71" s="653">
        <v>0</v>
      </c>
      <c r="T71" s="655">
        <v>0</v>
      </c>
      <c r="V71" s="657"/>
      <c r="W71" s="1">
        <v>0</v>
      </c>
      <c r="X71" s="655">
        <v>0</v>
      </c>
      <c r="Z71" s="653">
        <v>0</v>
      </c>
      <c r="AA71" s="653">
        <v>0</v>
      </c>
      <c r="AB71" s="653">
        <v>0</v>
      </c>
    </row>
    <row r="72" spans="1:28" x14ac:dyDescent="0.2">
      <c r="A72" s="8">
        <v>14750</v>
      </c>
      <c r="B72" s="8" t="s">
        <v>124</v>
      </c>
      <c r="C72" s="8" t="s">
        <v>68</v>
      </c>
      <c r="D72" s="29" t="s">
        <v>1</v>
      </c>
      <c r="E72" s="98" t="s">
        <v>184</v>
      </c>
      <c r="F72" s="1"/>
      <c r="G72" s="1">
        <v>0</v>
      </c>
      <c r="H72" s="655">
        <v>0</v>
      </c>
      <c r="J72" s="657"/>
      <c r="K72" s="1">
        <v>0</v>
      </c>
      <c r="L72" s="653">
        <v>0</v>
      </c>
      <c r="N72" s="657"/>
      <c r="O72" s="1">
        <v>0</v>
      </c>
      <c r="P72" s="655">
        <v>0</v>
      </c>
      <c r="R72" s="657"/>
      <c r="S72" s="653">
        <v>0</v>
      </c>
      <c r="T72" s="655">
        <v>0</v>
      </c>
      <c r="V72" s="657"/>
      <c r="W72" s="1">
        <v>0</v>
      </c>
      <c r="X72" s="655">
        <v>0</v>
      </c>
      <c r="Z72" s="653">
        <v>0</v>
      </c>
      <c r="AA72" s="653">
        <v>0</v>
      </c>
      <c r="AB72" s="653">
        <v>0</v>
      </c>
    </row>
    <row r="73" spans="1:28" x14ac:dyDescent="0.2">
      <c r="A73" s="8">
        <v>14850</v>
      </c>
      <c r="B73" s="8" t="s">
        <v>125</v>
      </c>
      <c r="C73" s="8" t="s">
        <v>19</v>
      </c>
      <c r="D73" s="29" t="s">
        <v>3</v>
      </c>
      <c r="E73" s="98" t="s">
        <v>186</v>
      </c>
      <c r="F73" s="1"/>
      <c r="G73" s="1">
        <v>0</v>
      </c>
      <c r="H73" s="655">
        <v>0</v>
      </c>
      <c r="J73" s="657"/>
      <c r="K73" s="1">
        <v>0</v>
      </c>
      <c r="L73" s="653">
        <v>0</v>
      </c>
      <c r="N73" s="657"/>
      <c r="O73" s="1">
        <v>0</v>
      </c>
      <c r="P73" s="655">
        <v>0</v>
      </c>
      <c r="R73" s="657"/>
      <c r="S73" s="653">
        <v>0</v>
      </c>
      <c r="T73" s="655">
        <v>0</v>
      </c>
      <c r="V73" s="657"/>
      <c r="W73" s="1">
        <v>0</v>
      </c>
      <c r="X73" s="655">
        <v>0</v>
      </c>
      <c r="Z73" s="653">
        <v>0</v>
      </c>
      <c r="AA73" s="653">
        <v>0</v>
      </c>
      <c r="AB73" s="653">
        <v>0</v>
      </c>
    </row>
    <row r="74" spans="1:28" x14ac:dyDescent="0.2">
      <c r="A74" s="8">
        <v>14870</v>
      </c>
      <c r="B74" s="8" t="s">
        <v>126</v>
      </c>
      <c r="C74" s="8" t="s">
        <v>38</v>
      </c>
      <c r="D74" s="29" t="s">
        <v>1</v>
      </c>
      <c r="E74" s="98">
        <v>0</v>
      </c>
      <c r="F74" s="1">
        <v>77.959999999999994</v>
      </c>
      <c r="G74" s="1">
        <v>49.999999999999993</v>
      </c>
      <c r="H74" s="655">
        <v>27.96</v>
      </c>
      <c r="J74" s="657"/>
      <c r="K74" s="1">
        <v>0</v>
      </c>
      <c r="L74" s="653">
        <v>0</v>
      </c>
      <c r="N74" s="657"/>
      <c r="O74" s="1">
        <v>0</v>
      </c>
      <c r="P74" s="655">
        <v>0</v>
      </c>
      <c r="R74" s="657"/>
      <c r="S74" s="653">
        <v>0</v>
      </c>
      <c r="T74" s="655">
        <v>0</v>
      </c>
      <c r="V74" s="657"/>
      <c r="W74" s="1">
        <v>0</v>
      </c>
      <c r="X74" s="655">
        <v>0</v>
      </c>
      <c r="Z74" s="653">
        <v>4.5</v>
      </c>
      <c r="AA74" s="653">
        <v>4.5</v>
      </c>
      <c r="AB74" s="653">
        <v>0</v>
      </c>
    </row>
    <row r="75" spans="1:28" x14ac:dyDescent="0.2">
      <c r="A75" s="8">
        <v>14900</v>
      </c>
      <c r="B75" s="8" t="s">
        <v>53</v>
      </c>
      <c r="C75" s="8" t="s">
        <v>18</v>
      </c>
      <c r="D75" s="29" t="s">
        <v>2</v>
      </c>
      <c r="E75" s="98">
        <v>0</v>
      </c>
      <c r="F75" s="1">
        <v>5306.28</v>
      </c>
      <c r="G75" s="1">
        <v>240.07999999999993</v>
      </c>
      <c r="H75" s="655">
        <v>5066.2</v>
      </c>
      <c r="J75" s="657">
        <v>18</v>
      </c>
      <c r="K75" s="1">
        <v>6</v>
      </c>
      <c r="L75" s="653">
        <v>12</v>
      </c>
      <c r="N75" s="657">
        <v>570.67999999999995</v>
      </c>
      <c r="O75" s="1">
        <v>570.67999999999995</v>
      </c>
      <c r="P75" s="655">
        <v>0</v>
      </c>
      <c r="R75" s="657"/>
      <c r="S75" s="653">
        <v>0</v>
      </c>
      <c r="T75" s="655">
        <v>0</v>
      </c>
      <c r="V75" s="657"/>
      <c r="W75" s="1">
        <v>0</v>
      </c>
      <c r="X75" s="655">
        <v>0</v>
      </c>
      <c r="Z75" s="653">
        <v>0</v>
      </c>
      <c r="AA75" s="653">
        <v>0</v>
      </c>
      <c r="AB75" s="653">
        <v>0</v>
      </c>
    </row>
    <row r="76" spans="1:28" x14ac:dyDescent="0.2">
      <c r="A76" s="8">
        <v>14920</v>
      </c>
      <c r="B76" s="8" t="s">
        <v>127</v>
      </c>
      <c r="C76" s="8" t="s">
        <v>16</v>
      </c>
      <c r="D76" s="29" t="s">
        <v>1</v>
      </c>
      <c r="E76" s="98" t="s">
        <v>194</v>
      </c>
      <c r="F76" s="1">
        <v>60</v>
      </c>
      <c r="G76" s="1">
        <v>0</v>
      </c>
      <c r="H76" s="655">
        <v>60</v>
      </c>
      <c r="J76" s="657"/>
      <c r="K76" s="1">
        <v>0</v>
      </c>
      <c r="L76" s="653">
        <v>0</v>
      </c>
      <c r="N76" s="657"/>
      <c r="O76" s="1">
        <v>0</v>
      </c>
      <c r="P76" s="655">
        <v>0</v>
      </c>
      <c r="R76" s="657"/>
      <c r="S76" s="653">
        <v>0</v>
      </c>
      <c r="T76" s="655">
        <v>0</v>
      </c>
      <c r="V76" s="657"/>
      <c r="W76" s="1">
        <v>0</v>
      </c>
      <c r="X76" s="655">
        <v>0</v>
      </c>
      <c r="Z76" s="653">
        <v>11</v>
      </c>
      <c r="AA76" s="653">
        <v>0</v>
      </c>
      <c r="AB76" s="653">
        <v>11</v>
      </c>
    </row>
    <row r="77" spans="1:28" x14ac:dyDescent="0.2">
      <c r="A77" s="8">
        <v>14950</v>
      </c>
      <c r="B77" s="8" t="s">
        <v>128</v>
      </c>
      <c r="C77" s="8" t="s">
        <v>21</v>
      </c>
      <c r="D77" s="29" t="s">
        <v>1</v>
      </c>
      <c r="E77" s="98" t="s">
        <v>190</v>
      </c>
      <c r="F77" s="1">
        <v>75</v>
      </c>
      <c r="G77" s="1">
        <v>0</v>
      </c>
      <c r="H77" s="655">
        <v>75</v>
      </c>
      <c r="J77" s="657"/>
      <c r="K77" s="1">
        <v>0</v>
      </c>
      <c r="L77" s="653">
        <v>0</v>
      </c>
      <c r="N77" s="657">
        <v>50</v>
      </c>
      <c r="O77" s="1">
        <v>50</v>
      </c>
      <c r="P77" s="655">
        <v>0</v>
      </c>
      <c r="R77" s="657">
        <v>1</v>
      </c>
      <c r="S77" s="653">
        <v>1</v>
      </c>
      <c r="T77" s="655">
        <v>0</v>
      </c>
      <c r="V77" s="657"/>
      <c r="W77" s="1">
        <v>0</v>
      </c>
      <c r="X77" s="655">
        <v>0</v>
      </c>
      <c r="Z77" s="653">
        <v>0</v>
      </c>
      <c r="AA77" s="653">
        <v>0</v>
      </c>
      <c r="AB77" s="653">
        <v>0</v>
      </c>
    </row>
    <row r="78" spans="1:28" x14ac:dyDescent="0.2">
      <c r="A78" s="8">
        <v>15050</v>
      </c>
      <c r="B78" s="8" t="s">
        <v>129</v>
      </c>
      <c r="C78" s="8" t="s">
        <v>23</v>
      </c>
      <c r="D78" s="29" t="s">
        <v>2</v>
      </c>
      <c r="E78" s="98" t="s">
        <v>193</v>
      </c>
      <c r="F78" s="1">
        <v>114.42</v>
      </c>
      <c r="G78" s="1">
        <v>60.38</v>
      </c>
      <c r="H78" s="655">
        <v>54.04</v>
      </c>
      <c r="J78" s="657">
        <v>9.1199999999999992</v>
      </c>
      <c r="K78" s="1">
        <v>9.1199999999999992</v>
      </c>
      <c r="L78" s="653">
        <v>0</v>
      </c>
      <c r="N78" s="657"/>
      <c r="O78" s="1">
        <v>0</v>
      </c>
      <c r="P78" s="655">
        <v>0</v>
      </c>
      <c r="R78" s="657"/>
      <c r="S78" s="653">
        <v>0</v>
      </c>
      <c r="T78" s="655">
        <v>0</v>
      </c>
      <c r="V78" s="657"/>
      <c r="W78" s="1">
        <v>0</v>
      </c>
      <c r="X78" s="655">
        <v>0</v>
      </c>
      <c r="Z78" s="653">
        <v>2.2799999999999998</v>
      </c>
      <c r="AA78" s="653">
        <v>2.2799999999999998</v>
      </c>
      <c r="AB78" s="653">
        <v>0</v>
      </c>
    </row>
    <row r="79" spans="1:28" x14ac:dyDescent="0.2">
      <c r="A79" s="8">
        <v>15240</v>
      </c>
      <c r="B79" s="8" t="s">
        <v>130</v>
      </c>
      <c r="C79" s="8" t="s">
        <v>39</v>
      </c>
      <c r="D79" s="29" t="s">
        <v>3</v>
      </c>
      <c r="E79" s="98" t="s">
        <v>193</v>
      </c>
      <c r="F79" s="1">
        <v>1458.24</v>
      </c>
      <c r="G79" s="1">
        <v>0</v>
      </c>
      <c r="H79" s="655">
        <v>1458.24</v>
      </c>
      <c r="J79" s="657"/>
      <c r="K79" s="1">
        <v>0</v>
      </c>
      <c r="L79" s="653">
        <v>0</v>
      </c>
      <c r="N79" s="657">
        <v>754.86</v>
      </c>
      <c r="O79" s="1">
        <v>754.86</v>
      </c>
      <c r="P79" s="655">
        <v>0</v>
      </c>
      <c r="R79" s="657"/>
      <c r="S79" s="653">
        <v>0</v>
      </c>
      <c r="T79" s="655">
        <v>0</v>
      </c>
      <c r="V79" s="657"/>
      <c r="W79" s="1">
        <v>0</v>
      </c>
      <c r="X79" s="655">
        <v>0</v>
      </c>
      <c r="Z79" s="653">
        <v>0</v>
      </c>
      <c r="AA79" s="653">
        <v>0</v>
      </c>
      <c r="AB79" s="653">
        <v>0</v>
      </c>
    </row>
    <row r="80" spans="1:28" x14ac:dyDescent="0.2">
      <c r="A80" s="8">
        <v>15270</v>
      </c>
      <c r="B80" s="8" t="s">
        <v>131</v>
      </c>
      <c r="C80" s="8" t="s">
        <v>38</v>
      </c>
      <c r="D80" s="29" t="s">
        <v>1</v>
      </c>
      <c r="E80" s="98" t="s">
        <v>191</v>
      </c>
      <c r="F80" s="1"/>
      <c r="G80" s="1">
        <v>0</v>
      </c>
      <c r="H80" s="655">
        <v>0</v>
      </c>
      <c r="J80" s="657"/>
      <c r="K80" s="1">
        <v>0</v>
      </c>
      <c r="L80" s="653">
        <v>0</v>
      </c>
      <c r="N80" s="657"/>
      <c r="O80" s="1">
        <v>0</v>
      </c>
      <c r="P80" s="655">
        <v>0</v>
      </c>
      <c r="R80" s="657"/>
      <c r="S80" s="653">
        <v>0</v>
      </c>
      <c r="T80" s="655">
        <v>0</v>
      </c>
      <c r="V80" s="657"/>
      <c r="W80" s="1">
        <v>0</v>
      </c>
      <c r="X80" s="655">
        <v>0</v>
      </c>
      <c r="Z80" s="653">
        <v>0</v>
      </c>
      <c r="AA80" s="653">
        <v>0</v>
      </c>
      <c r="AB80" s="653">
        <v>0</v>
      </c>
    </row>
    <row r="81" spans="1:28" x14ac:dyDescent="0.2">
      <c r="A81" s="8">
        <v>15300</v>
      </c>
      <c r="B81" s="8" t="s">
        <v>132</v>
      </c>
      <c r="C81" s="8" t="s">
        <v>16</v>
      </c>
      <c r="D81" s="29" t="s">
        <v>1</v>
      </c>
      <c r="E81" s="98" t="s">
        <v>185</v>
      </c>
      <c r="F81" s="1">
        <v>88.32</v>
      </c>
      <c r="G81" s="1">
        <v>0</v>
      </c>
      <c r="H81" s="655">
        <v>88.32</v>
      </c>
      <c r="J81" s="657"/>
      <c r="K81" s="1">
        <v>0</v>
      </c>
      <c r="L81" s="653">
        <v>0</v>
      </c>
      <c r="N81" s="657">
        <v>26.76</v>
      </c>
      <c r="O81" s="1">
        <v>26.76</v>
      </c>
      <c r="P81" s="655">
        <v>0</v>
      </c>
      <c r="R81" s="657"/>
      <c r="S81" s="653">
        <v>0</v>
      </c>
      <c r="T81" s="655">
        <v>0</v>
      </c>
      <c r="V81" s="657"/>
      <c r="W81" s="1">
        <v>0</v>
      </c>
      <c r="X81" s="655">
        <v>0</v>
      </c>
      <c r="Z81" s="653">
        <v>7.7</v>
      </c>
      <c r="AA81" s="653">
        <v>7.7</v>
      </c>
      <c r="AB81" s="653">
        <v>0</v>
      </c>
    </row>
    <row r="82" spans="1:28" x14ac:dyDescent="0.2">
      <c r="A82" s="8">
        <v>15350</v>
      </c>
      <c r="B82" s="8" t="s">
        <v>133</v>
      </c>
      <c r="C82" s="8" t="s">
        <v>24</v>
      </c>
      <c r="D82" s="29" t="s">
        <v>2</v>
      </c>
      <c r="E82" s="98">
        <v>0</v>
      </c>
      <c r="F82" s="1">
        <v>552</v>
      </c>
      <c r="G82" s="1">
        <v>0</v>
      </c>
      <c r="H82" s="655">
        <v>552</v>
      </c>
      <c r="J82" s="657">
        <v>40</v>
      </c>
      <c r="K82" s="1">
        <v>40</v>
      </c>
      <c r="L82" s="653">
        <v>0</v>
      </c>
      <c r="N82" s="657"/>
      <c r="O82" s="1">
        <v>0</v>
      </c>
      <c r="P82" s="655">
        <v>0</v>
      </c>
      <c r="R82" s="657">
        <v>7</v>
      </c>
      <c r="S82" s="653">
        <v>7</v>
      </c>
      <c r="T82" s="655">
        <v>0</v>
      </c>
      <c r="V82" s="657"/>
      <c r="W82" s="1">
        <v>0</v>
      </c>
      <c r="X82" s="655">
        <v>0</v>
      </c>
      <c r="Z82" s="653">
        <v>160</v>
      </c>
      <c r="AA82" s="653">
        <v>160</v>
      </c>
      <c r="AB82" s="653">
        <v>0</v>
      </c>
    </row>
    <row r="83" spans="1:28" x14ac:dyDescent="0.2">
      <c r="A83" s="8">
        <v>15520</v>
      </c>
      <c r="B83" s="8" t="s">
        <v>134</v>
      </c>
      <c r="C83" s="8" t="s">
        <v>66</v>
      </c>
      <c r="D83" s="29" t="s">
        <v>1</v>
      </c>
      <c r="E83" s="98" t="s">
        <v>184</v>
      </c>
      <c r="F83" s="1"/>
      <c r="G83" s="1">
        <v>0</v>
      </c>
      <c r="H83" s="655">
        <v>0</v>
      </c>
      <c r="J83" s="657"/>
      <c r="K83" s="1">
        <v>0</v>
      </c>
      <c r="L83" s="653">
        <v>0</v>
      </c>
      <c r="N83" s="657"/>
      <c r="O83" s="1">
        <v>0</v>
      </c>
      <c r="P83" s="655">
        <v>0</v>
      </c>
      <c r="R83" s="657"/>
      <c r="S83" s="653">
        <v>0</v>
      </c>
      <c r="T83" s="655">
        <v>0</v>
      </c>
      <c r="V83" s="657"/>
      <c r="W83" s="1">
        <v>0</v>
      </c>
      <c r="X83" s="655">
        <v>0</v>
      </c>
      <c r="Z83" s="653">
        <v>0</v>
      </c>
      <c r="AA83" s="653">
        <v>0</v>
      </c>
      <c r="AB83" s="653">
        <v>0</v>
      </c>
    </row>
    <row r="84" spans="1:28" x14ac:dyDescent="0.2">
      <c r="A84" s="8">
        <v>15560</v>
      </c>
      <c r="B84" s="8" t="s">
        <v>135</v>
      </c>
      <c r="C84" s="8" t="s">
        <v>68</v>
      </c>
      <c r="D84" s="29" t="s">
        <v>1</v>
      </c>
      <c r="E84" s="98" t="s">
        <v>184</v>
      </c>
      <c r="F84" s="1">
        <v>17</v>
      </c>
      <c r="G84" s="1">
        <v>0</v>
      </c>
      <c r="H84" s="655">
        <v>17</v>
      </c>
      <c r="J84" s="657">
        <v>1</v>
      </c>
      <c r="K84" s="1">
        <v>0</v>
      </c>
      <c r="L84" s="653">
        <v>1</v>
      </c>
      <c r="N84" s="657">
        <v>31.5</v>
      </c>
      <c r="O84" s="1">
        <v>1.5</v>
      </c>
      <c r="P84" s="655">
        <v>30</v>
      </c>
      <c r="R84" s="657">
        <v>4</v>
      </c>
      <c r="S84" s="653">
        <v>4</v>
      </c>
      <c r="T84" s="655">
        <v>0</v>
      </c>
      <c r="V84" s="657"/>
      <c r="W84" s="1">
        <v>0</v>
      </c>
      <c r="X84" s="655">
        <v>0</v>
      </c>
      <c r="Z84" s="653">
        <v>1.5</v>
      </c>
      <c r="AA84" s="653">
        <v>0</v>
      </c>
      <c r="AB84" s="653">
        <v>1.5</v>
      </c>
    </row>
    <row r="85" spans="1:28" x14ac:dyDescent="0.2">
      <c r="A85" s="8">
        <v>15650</v>
      </c>
      <c r="B85" s="8" t="s">
        <v>136</v>
      </c>
      <c r="C85" s="8" t="s">
        <v>23</v>
      </c>
      <c r="D85" s="29" t="s">
        <v>3</v>
      </c>
      <c r="E85" s="98" t="s">
        <v>193</v>
      </c>
      <c r="F85" s="1">
        <v>508.3</v>
      </c>
      <c r="G85" s="1">
        <v>0</v>
      </c>
      <c r="H85" s="655">
        <v>508.3</v>
      </c>
      <c r="J85" s="657">
        <v>24.36</v>
      </c>
      <c r="K85" s="1">
        <v>24.36</v>
      </c>
      <c r="L85" s="653">
        <v>0</v>
      </c>
      <c r="N85" s="657">
        <v>166.42</v>
      </c>
      <c r="O85" s="1">
        <v>166.42</v>
      </c>
      <c r="P85" s="655">
        <v>0</v>
      </c>
      <c r="R85" s="657">
        <v>1.92</v>
      </c>
      <c r="S85" s="653">
        <v>1.92</v>
      </c>
      <c r="T85" s="655">
        <v>0</v>
      </c>
      <c r="V85" s="657"/>
      <c r="W85" s="1">
        <v>0</v>
      </c>
      <c r="X85" s="655">
        <v>0</v>
      </c>
      <c r="Z85" s="653">
        <v>17</v>
      </c>
      <c r="AA85" s="653">
        <v>17</v>
      </c>
      <c r="AB85" s="653">
        <v>0</v>
      </c>
    </row>
    <row r="86" spans="1:28" x14ac:dyDescent="0.2">
      <c r="A86" s="8">
        <v>15700</v>
      </c>
      <c r="B86" s="8" t="s">
        <v>54</v>
      </c>
      <c r="C86" s="8" t="s">
        <v>39</v>
      </c>
      <c r="D86" s="29" t="s">
        <v>3</v>
      </c>
      <c r="E86" s="98">
        <v>0</v>
      </c>
      <c r="F86" s="1">
        <v>590</v>
      </c>
      <c r="G86" s="1">
        <v>0</v>
      </c>
      <c r="H86" s="655">
        <v>590</v>
      </c>
      <c r="J86" s="657"/>
      <c r="K86" s="1">
        <v>0</v>
      </c>
      <c r="L86" s="653">
        <v>0</v>
      </c>
      <c r="N86" s="657"/>
      <c r="O86" s="1">
        <v>0</v>
      </c>
      <c r="P86" s="655">
        <v>0</v>
      </c>
      <c r="R86" s="657"/>
      <c r="S86" s="653">
        <v>0</v>
      </c>
      <c r="T86" s="655">
        <v>0</v>
      </c>
      <c r="V86" s="657"/>
      <c r="W86" s="1">
        <v>0</v>
      </c>
      <c r="X86" s="655">
        <v>0</v>
      </c>
      <c r="Z86" s="653">
        <v>0</v>
      </c>
      <c r="AA86" s="653">
        <v>0</v>
      </c>
      <c r="AB86" s="653">
        <v>0</v>
      </c>
    </row>
    <row r="87" spans="1:28" x14ac:dyDescent="0.2">
      <c r="A87" s="8">
        <v>15750</v>
      </c>
      <c r="B87" s="8" t="s">
        <v>137</v>
      </c>
      <c r="C87" s="8" t="s">
        <v>16</v>
      </c>
      <c r="D87" s="29" t="s">
        <v>1</v>
      </c>
      <c r="E87" s="98" t="s">
        <v>185</v>
      </c>
      <c r="F87" s="1">
        <v>23.02</v>
      </c>
      <c r="G87" s="1">
        <v>0</v>
      </c>
      <c r="H87" s="655">
        <v>23.02</v>
      </c>
      <c r="J87" s="657"/>
      <c r="K87" s="1">
        <v>0</v>
      </c>
      <c r="L87" s="653">
        <v>0</v>
      </c>
      <c r="N87" s="657"/>
      <c r="O87" s="1">
        <v>0</v>
      </c>
      <c r="P87" s="655">
        <v>0</v>
      </c>
      <c r="R87" s="657"/>
      <c r="S87" s="653">
        <v>0</v>
      </c>
      <c r="T87" s="655">
        <v>0</v>
      </c>
      <c r="V87" s="657"/>
      <c r="W87" s="1">
        <v>0</v>
      </c>
      <c r="X87" s="655">
        <v>0</v>
      </c>
      <c r="Z87" s="653">
        <v>0</v>
      </c>
      <c r="AA87" s="653">
        <v>0</v>
      </c>
      <c r="AB87" s="653">
        <v>0</v>
      </c>
    </row>
    <row r="88" spans="1:28" x14ac:dyDescent="0.2">
      <c r="A88" s="8">
        <v>15800</v>
      </c>
      <c r="B88" s="8" t="s">
        <v>138</v>
      </c>
      <c r="C88" s="8" t="s">
        <v>68</v>
      </c>
      <c r="D88" s="29" t="s">
        <v>1</v>
      </c>
      <c r="E88" s="98" t="s">
        <v>184</v>
      </c>
      <c r="F88" s="1"/>
      <c r="G88" s="1">
        <v>0</v>
      </c>
      <c r="H88" s="655">
        <v>0</v>
      </c>
      <c r="J88" s="657"/>
      <c r="K88" s="1">
        <v>0</v>
      </c>
      <c r="L88" s="653">
        <v>0</v>
      </c>
      <c r="N88" s="657"/>
      <c r="O88" s="1">
        <v>0</v>
      </c>
      <c r="P88" s="655">
        <v>0</v>
      </c>
      <c r="R88" s="657"/>
      <c r="S88" s="653">
        <v>0</v>
      </c>
      <c r="T88" s="655">
        <v>0</v>
      </c>
      <c r="V88" s="657"/>
      <c r="W88" s="1">
        <v>0</v>
      </c>
      <c r="X88" s="655">
        <v>0</v>
      </c>
      <c r="Z88" s="653">
        <v>0</v>
      </c>
      <c r="AA88" s="653">
        <v>0</v>
      </c>
      <c r="AB88" s="653">
        <v>0</v>
      </c>
    </row>
    <row r="89" spans="1:28" x14ac:dyDescent="0.2">
      <c r="A89" s="8">
        <v>15850</v>
      </c>
      <c r="B89" s="8" t="s">
        <v>139</v>
      </c>
      <c r="C89" s="8" t="s">
        <v>38</v>
      </c>
      <c r="D89" s="29" t="s">
        <v>1</v>
      </c>
      <c r="E89" s="98" t="s">
        <v>191</v>
      </c>
      <c r="F89" s="1"/>
      <c r="G89" s="1">
        <v>0</v>
      </c>
      <c r="H89" s="655">
        <v>0</v>
      </c>
      <c r="J89" s="657"/>
      <c r="K89" s="1">
        <v>0</v>
      </c>
      <c r="L89" s="653">
        <v>0</v>
      </c>
      <c r="N89" s="657"/>
      <c r="O89" s="1">
        <v>0</v>
      </c>
      <c r="P89" s="655">
        <v>0</v>
      </c>
      <c r="R89" s="657"/>
      <c r="S89" s="653">
        <v>0</v>
      </c>
      <c r="T89" s="655">
        <v>0</v>
      </c>
      <c r="V89" s="657"/>
      <c r="W89" s="1">
        <v>0</v>
      </c>
      <c r="X89" s="655">
        <v>0</v>
      </c>
      <c r="Z89" s="653">
        <v>0</v>
      </c>
      <c r="AA89" s="653">
        <v>0</v>
      </c>
      <c r="AB89" s="653">
        <v>0</v>
      </c>
    </row>
    <row r="90" spans="1:28" x14ac:dyDescent="0.2">
      <c r="A90" s="8">
        <v>15900</v>
      </c>
      <c r="B90" s="8" t="s">
        <v>140</v>
      </c>
      <c r="C90" s="8" t="s">
        <v>23</v>
      </c>
      <c r="D90" s="29" t="s">
        <v>2</v>
      </c>
      <c r="E90" s="98" t="s">
        <v>193</v>
      </c>
      <c r="F90" s="1">
        <v>515.65</v>
      </c>
      <c r="G90" s="1">
        <v>0</v>
      </c>
      <c r="H90" s="655">
        <v>515.65</v>
      </c>
      <c r="J90" s="657">
        <v>128.72999999999999</v>
      </c>
      <c r="K90" s="1">
        <v>128.72999999999999</v>
      </c>
      <c r="L90" s="653">
        <v>0</v>
      </c>
      <c r="N90" s="657">
        <v>183.9</v>
      </c>
      <c r="O90" s="1">
        <v>91.95</v>
      </c>
      <c r="P90" s="655">
        <v>91.95</v>
      </c>
      <c r="R90" s="657">
        <v>128</v>
      </c>
      <c r="S90" s="653">
        <v>64</v>
      </c>
      <c r="T90" s="655">
        <v>64</v>
      </c>
      <c r="V90" s="657">
        <v>882.72</v>
      </c>
      <c r="W90" s="1">
        <v>0</v>
      </c>
      <c r="X90" s="655">
        <v>882.72</v>
      </c>
      <c r="Z90" s="653">
        <v>0</v>
      </c>
      <c r="AA90" s="653">
        <v>0</v>
      </c>
      <c r="AB90" s="653">
        <v>0</v>
      </c>
    </row>
    <row r="91" spans="1:28" x14ac:dyDescent="0.2">
      <c r="A91" s="8">
        <v>15950</v>
      </c>
      <c r="B91" s="8" t="s">
        <v>55</v>
      </c>
      <c r="C91" s="8" t="s">
        <v>24</v>
      </c>
      <c r="D91" s="29" t="s">
        <v>2</v>
      </c>
      <c r="E91" s="98">
        <v>0</v>
      </c>
      <c r="F91" s="1">
        <v>2082</v>
      </c>
      <c r="G91" s="1">
        <v>0</v>
      </c>
      <c r="H91" s="655">
        <v>2082</v>
      </c>
      <c r="J91" s="657"/>
      <c r="K91" s="1">
        <v>0</v>
      </c>
      <c r="L91" s="653">
        <v>0</v>
      </c>
      <c r="N91" s="657"/>
      <c r="O91" s="1">
        <v>0</v>
      </c>
      <c r="P91" s="655">
        <v>0</v>
      </c>
      <c r="R91" s="657"/>
      <c r="S91" s="653">
        <v>0</v>
      </c>
      <c r="T91" s="655">
        <v>0</v>
      </c>
      <c r="V91" s="657"/>
      <c r="W91" s="1">
        <v>0</v>
      </c>
      <c r="X91" s="655">
        <v>0</v>
      </c>
      <c r="Z91" s="653">
        <v>0</v>
      </c>
      <c r="AA91" s="653">
        <v>0</v>
      </c>
      <c r="AB91" s="653">
        <v>0</v>
      </c>
    </row>
    <row r="92" spans="1:28" x14ac:dyDescent="0.2">
      <c r="A92" s="8">
        <v>15990</v>
      </c>
      <c r="B92" s="8" t="s">
        <v>141</v>
      </c>
      <c r="C92" s="8">
        <v>0</v>
      </c>
      <c r="D92" s="29" t="s">
        <v>2</v>
      </c>
      <c r="E92" s="98">
        <v>0</v>
      </c>
      <c r="F92" s="1">
        <v>8332.02</v>
      </c>
      <c r="G92" s="1">
        <v>0</v>
      </c>
      <c r="H92" s="655">
        <v>8332.02</v>
      </c>
      <c r="J92" s="657"/>
      <c r="K92" s="1">
        <v>0</v>
      </c>
      <c r="L92" s="653">
        <v>0</v>
      </c>
      <c r="N92" s="657">
        <v>27.64</v>
      </c>
      <c r="O92" s="1">
        <v>27.64</v>
      </c>
      <c r="P92" s="655">
        <v>0</v>
      </c>
      <c r="R92" s="657"/>
      <c r="S92" s="653">
        <v>0</v>
      </c>
      <c r="T92" s="655">
        <v>0</v>
      </c>
      <c r="V92" s="657"/>
      <c r="W92" s="1">
        <v>0</v>
      </c>
      <c r="X92" s="655">
        <v>0</v>
      </c>
      <c r="Z92" s="653">
        <v>0</v>
      </c>
      <c r="AA92" s="653">
        <v>0</v>
      </c>
      <c r="AB92" s="653">
        <v>0</v>
      </c>
    </row>
    <row r="93" spans="1:28" x14ac:dyDescent="0.2">
      <c r="A93" s="8">
        <v>16100</v>
      </c>
      <c r="B93" s="8" t="s">
        <v>142</v>
      </c>
      <c r="C93" s="8" t="s">
        <v>38</v>
      </c>
      <c r="D93" s="29" t="s">
        <v>1</v>
      </c>
      <c r="E93" s="98" t="s">
        <v>188</v>
      </c>
      <c r="F93" s="1">
        <v>86.63</v>
      </c>
      <c r="G93" s="1">
        <v>0</v>
      </c>
      <c r="H93" s="655">
        <v>86.63</v>
      </c>
      <c r="J93" s="657">
        <v>1.64</v>
      </c>
      <c r="K93" s="1">
        <v>0</v>
      </c>
      <c r="L93" s="653">
        <v>1.64</v>
      </c>
      <c r="N93" s="657">
        <v>13.5</v>
      </c>
      <c r="O93" s="1">
        <v>13.5</v>
      </c>
      <c r="P93" s="655">
        <v>0</v>
      </c>
      <c r="R93" s="657"/>
      <c r="S93" s="653">
        <v>0</v>
      </c>
      <c r="T93" s="655">
        <v>0</v>
      </c>
      <c r="V93" s="657"/>
      <c r="W93" s="1">
        <v>0</v>
      </c>
      <c r="X93" s="655">
        <v>0</v>
      </c>
      <c r="Z93" s="653">
        <v>7.23</v>
      </c>
      <c r="AA93" s="653">
        <v>7.23</v>
      </c>
      <c r="AB93" s="653">
        <v>0</v>
      </c>
    </row>
    <row r="94" spans="1:28" x14ac:dyDescent="0.2">
      <c r="A94" s="8">
        <v>16150</v>
      </c>
      <c r="B94" s="8" t="s">
        <v>143</v>
      </c>
      <c r="C94" s="8" t="s">
        <v>38</v>
      </c>
      <c r="D94" s="29" t="s">
        <v>1</v>
      </c>
      <c r="E94" s="98" t="s">
        <v>188</v>
      </c>
      <c r="F94" s="1">
        <v>506.94</v>
      </c>
      <c r="G94" s="1">
        <v>0</v>
      </c>
      <c r="H94" s="655">
        <v>506.94</v>
      </c>
      <c r="J94" s="657">
        <v>14.35</v>
      </c>
      <c r="K94" s="1">
        <v>14.35</v>
      </c>
      <c r="L94" s="653">
        <v>0</v>
      </c>
      <c r="N94" s="657">
        <v>88.46</v>
      </c>
      <c r="O94" s="1">
        <v>88.46</v>
      </c>
      <c r="P94" s="655">
        <v>0</v>
      </c>
      <c r="R94" s="657"/>
      <c r="S94" s="653">
        <v>0</v>
      </c>
      <c r="T94" s="655">
        <v>0</v>
      </c>
      <c r="V94" s="657"/>
      <c r="W94" s="1">
        <v>0</v>
      </c>
      <c r="X94" s="655">
        <v>0</v>
      </c>
      <c r="Z94" s="653">
        <v>6</v>
      </c>
      <c r="AA94" s="653">
        <v>6</v>
      </c>
      <c r="AB94" s="653">
        <v>0</v>
      </c>
    </row>
    <row r="95" spans="1:28" x14ac:dyDescent="0.2">
      <c r="A95" s="8">
        <v>16200</v>
      </c>
      <c r="B95" s="8" t="s">
        <v>144</v>
      </c>
      <c r="C95" s="8" t="s">
        <v>38</v>
      </c>
      <c r="D95" s="29" t="s">
        <v>1</v>
      </c>
      <c r="E95" s="98" t="s">
        <v>188</v>
      </c>
      <c r="F95" s="1">
        <v>66</v>
      </c>
      <c r="G95" s="1">
        <v>5</v>
      </c>
      <c r="H95" s="655">
        <v>61</v>
      </c>
      <c r="J95" s="657">
        <v>4</v>
      </c>
      <c r="K95" s="1">
        <v>0</v>
      </c>
      <c r="L95" s="653">
        <v>4</v>
      </c>
      <c r="N95" s="657">
        <v>5</v>
      </c>
      <c r="O95" s="1">
        <v>5</v>
      </c>
      <c r="P95" s="655">
        <v>0</v>
      </c>
      <c r="R95" s="657">
        <v>0.06</v>
      </c>
      <c r="S95" s="653">
        <v>0.06</v>
      </c>
      <c r="T95" s="655">
        <v>0</v>
      </c>
      <c r="V95" s="657"/>
      <c r="W95" s="1">
        <v>0</v>
      </c>
      <c r="X95" s="655">
        <v>0</v>
      </c>
      <c r="Z95" s="653">
        <v>0</v>
      </c>
      <c r="AA95" s="653">
        <v>0</v>
      </c>
      <c r="AB95" s="653">
        <v>0</v>
      </c>
    </row>
    <row r="96" spans="1:28" x14ac:dyDescent="0.2">
      <c r="A96" s="8">
        <v>16260</v>
      </c>
      <c r="B96" s="8" t="s">
        <v>56</v>
      </c>
      <c r="C96" s="8" t="s">
        <v>18</v>
      </c>
      <c r="D96" s="29" t="s">
        <v>2</v>
      </c>
      <c r="E96" s="98">
        <v>0</v>
      </c>
      <c r="F96" s="1"/>
      <c r="G96" s="1">
        <v>0</v>
      </c>
      <c r="H96" s="655">
        <v>0</v>
      </c>
      <c r="J96" s="657"/>
      <c r="K96" s="1">
        <v>0</v>
      </c>
      <c r="L96" s="653">
        <v>0</v>
      </c>
      <c r="N96" s="657"/>
      <c r="O96" s="1">
        <v>0</v>
      </c>
      <c r="P96" s="655">
        <v>0</v>
      </c>
      <c r="R96" s="657"/>
      <c r="S96" s="653">
        <v>0</v>
      </c>
      <c r="T96" s="655">
        <v>0</v>
      </c>
      <c r="V96" s="657"/>
      <c r="W96" s="1">
        <v>0</v>
      </c>
      <c r="X96" s="655">
        <v>0</v>
      </c>
      <c r="Z96" s="653">
        <v>0</v>
      </c>
      <c r="AA96" s="653">
        <v>0</v>
      </c>
      <c r="AB96" s="653">
        <v>0</v>
      </c>
    </row>
    <row r="97" spans="1:28" x14ac:dyDescent="0.2">
      <c r="A97" s="8">
        <v>16350</v>
      </c>
      <c r="B97" s="8" t="s">
        <v>57</v>
      </c>
      <c r="C97" s="8" t="s">
        <v>182</v>
      </c>
      <c r="D97" s="29" t="s">
        <v>2</v>
      </c>
      <c r="E97" s="98">
        <v>0</v>
      </c>
      <c r="F97" s="1">
        <v>10065.6</v>
      </c>
      <c r="G97" s="1">
        <v>0</v>
      </c>
      <c r="H97" s="655">
        <v>10065.6</v>
      </c>
      <c r="J97" s="657">
        <v>384.89</v>
      </c>
      <c r="K97" s="1">
        <v>384.89</v>
      </c>
      <c r="L97" s="653">
        <v>0</v>
      </c>
      <c r="N97" s="657">
        <v>41.49</v>
      </c>
      <c r="O97" s="1">
        <v>41.49</v>
      </c>
      <c r="P97" s="655">
        <v>0</v>
      </c>
      <c r="R97" s="657"/>
      <c r="S97" s="653">
        <v>0</v>
      </c>
      <c r="T97" s="655">
        <v>0</v>
      </c>
      <c r="V97" s="657">
        <v>83.52</v>
      </c>
      <c r="W97" s="1">
        <v>0</v>
      </c>
      <c r="X97" s="655">
        <v>83.52</v>
      </c>
      <c r="Z97" s="653">
        <v>25.58</v>
      </c>
      <c r="AA97" s="653">
        <v>25.069999999999997</v>
      </c>
      <c r="AB97" s="653">
        <v>0.51</v>
      </c>
    </row>
    <row r="98" spans="1:28" x14ac:dyDescent="0.2">
      <c r="A98" s="8">
        <v>16380</v>
      </c>
      <c r="B98" s="8" t="s">
        <v>145</v>
      </c>
      <c r="C98" s="8" t="s">
        <v>39</v>
      </c>
      <c r="D98" s="29" t="s">
        <v>3</v>
      </c>
      <c r="E98" s="98" t="s">
        <v>189</v>
      </c>
      <c r="F98" s="1">
        <v>103.56</v>
      </c>
      <c r="G98" s="1">
        <v>0</v>
      </c>
      <c r="H98" s="655">
        <v>103.56</v>
      </c>
      <c r="J98" s="657"/>
      <c r="K98" s="1">
        <v>0</v>
      </c>
      <c r="L98" s="653">
        <v>0</v>
      </c>
      <c r="N98" s="657">
        <v>3.08</v>
      </c>
      <c r="O98" s="1">
        <v>3.08</v>
      </c>
      <c r="P98" s="655">
        <v>0</v>
      </c>
      <c r="R98" s="657"/>
      <c r="S98" s="653">
        <v>0</v>
      </c>
      <c r="T98" s="655">
        <v>0</v>
      </c>
      <c r="V98" s="657"/>
      <c r="W98" s="1">
        <v>0</v>
      </c>
      <c r="X98" s="655">
        <v>0</v>
      </c>
      <c r="Z98" s="653">
        <v>0</v>
      </c>
      <c r="AA98" s="653">
        <v>0</v>
      </c>
      <c r="AB98" s="653">
        <v>0</v>
      </c>
    </row>
    <row r="99" spans="1:28" x14ac:dyDescent="0.2">
      <c r="A99" s="8">
        <v>16400</v>
      </c>
      <c r="B99" s="8" t="s">
        <v>58</v>
      </c>
      <c r="C99" s="8" t="s">
        <v>23</v>
      </c>
      <c r="D99" s="29" t="s">
        <v>2</v>
      </c>
      <c r="E99" s="98" t="s">
        <v>193</v>
      </c>
      <c r="F99" s="1">
        <v>2706.7</v>
      </c>
      <c r="G99" s="1">
        <v>9.9999999999909051E-2</v>
      </c>
      <c r="H99" s="655">
        <v>2706.6</v>
      </c>
      <c r="J99" s="657">
        <v>47.5</v>
      </c>
      <c r="K99" s="1">
        <v>47.5</v>
      </c>
      <c r="L99" s="653">
        <v>0</v>
      </c>
      <c r="N99" s="657">
        <v>153.6</v>
      </c>
      <c r="O99" s="1">
        <v>153.6</v>
      </c>
      <c r="P99" s="655">
        <v>0</v>
      </c>
      <c r="R99" s="657"/>
      <c r="S99" s="653">
        <v>0</v>
      </c>
      <c r="T99" s="655">
        <v>0</v>
      </c>
      <c r="V99" s="657"/>
      <c r="W99" s="1">
        <v>0</v>
      </c>
      <c r="X99" s="655">
        <v>0</v>
      </c>
      <c r="Z99" s="653">
        <v>0</v>
      </c>
      <c r="AA99" s="653">
        <v>0</v>
      </c>
      <c r="AB99" s="653">
        <v>0</v>
      </c>
    </row>
    <row r="100" spans="1:28" x14ac:dyDescent="0.2">
      <c r="A100" s="8">
        <v>16490</v>
      </c>
      <c r="B100" s="8" t="s">
        <v>146</v>
      </c>
      <c r="C100" s="8" t="s">
        <v>67</v>
      </c>
      <c r="D100" s="29" t="s">
        <v>1</v>
      </c>
      <c r="E100" s="98" t="s">
        <v>67</v>
      </c>
      <c r="F100" s="1">
        <v>347.34</v>
      </c>
      <c r="G100" s="1">
        <v>0</v>
      </c>
      <c r="H100" s="655">
        <v>347.34</v>
      </c>
      <c r="J100" s="657">
        <v>45</v>
      </c>
      <c r="K100" s="1">
        <v>45</v>
      </c>
      <c r="L100" s="653">
        <v>0</v>
      </c>
      <c r="N100" s="657"/>
      <c r="O100" s="1">
        <v>0</v>
      </c>
      <c r="P100" s="655">
        <v>0</v>
      </c>
      <c r="R100" s="657"/>
      <c r="S100" s="653">
        <v>0</v>
      </c>
      <c r="T100" s="655">
        <v>0</v>
      </c>
      <c r="V100" s="657"/>
      <c r="W100" s="1">
        <v>0</v>
      </c>
      <c r="X100" s="655">
        <v>0</v>
      </c>
      <c r="Z100" s="653">
        <v>0</v>
      </c>
      <c r="AA100" s="653">
        <v>0</v>
      </c>
      <c r="AB100" s="653">
        <v>0</v>
      </c>
    </row>
    <row r="101" spans="1:28" x14ac:dyDescent="0.2">
      <c r="A101" s="8">
        <v>16550</v>
      </c>
      <c r="B101" s="8" t="s">
        <v>59</v>
      </c>
      <c r="C101" s="8" t="s">
        <v>17</v>
      </c>
      <c r="D101" s="29" t="s">
        <v>2</v>
      </c>
      <c r="E101" s="98">
        <v>0</v>
      </c>
      <c r="F101" s="1">
        <v>3973</v>
      </c>
      <c r="G101" s="1">
        <v>0</v>
      </c>
      <c r="H101" s="655">
        <v>3973</v>
      </c>
      <c r="J101" s="657">
        <v>367.78</v>
      </c>
      <c r="K101" s="1">
        <v>367.78</v>
      </c>
      <c r="L101" s="653">
        <v>0</v>
      </c>
      <c r="N101" s="657"/>
      <c r="O101" s="1">
        <v>0</v>
      </c>
      <c r="P101" s="655">
        <v>0</v>
      </c>
      <c r="R101" s="657"/>
      <c r="S101" s="653">
        <v>0</v>
      </c>
      <c r="T101" s="655">
        <v>0</v>
      </c>
      <c r="V101" s="657"/>
      <c r="W101" s="1">
        <v>0</v>
      </c>
      <c r="X101" s="655">
        <v>0</v>
      </c>
      <c r="Z101" s="653">
        <v>0</v>
      </c>
      <c r="AA101" s="653">
        <v>0</v>
      </c>
      <c r="AB101" s="653">
        <v>0</v>
      </c>
    </row>
    <row r="102" spans="1:28" x14ac:dyDescent="0.2">
      <c r="A102" s="8">
        <v>16610</v>
      </c>
      <c r="B102" s="8" t="s">
        <v>147</v>
      </c>
      <c r="C102" s="8" t="s">
        <v>19</v>
      </c>
      <c r="D102" s="29" t="s">
        <v>3</v>
      </c>
      <c r="E102" s="98" t="s">
        <v>186</v>
      </c>
      <c r="F102" s="1"/>
      <c r="G102" s="1">
        <v>0</v>
      </c>
      <c r="H102" s="655">
        <v>0</v>
      </c>
      <c r="J102" s="657"/>
      <c r="K102" s="1">
        <v>0</v>
      </c>
      <c r="L102" s="653">
        <v>0</v>
      </c>
      <c r="N102" s="657"/>
      <c r="O102" s="1">
        <v>0</v>
      </c>
      <c r="P102" s="655">
        <v>0</v>
      </c>
      <c r="R102" s="657"/>
      <c r="S102" s="653">
        <v>0</v>
      </c>
      <c r="T102" s="655">
        <v>0</v>
      </c>
      <c r="V102" s="657"/>
      <c r="W102" s="1">
        <v>0</v>
      </c>
      <c r="X102" s="655">
        <v>0</v>
      </c>
      <c r="Z102" s="653">
        <v>0</v>
      </c>
      <c r="AA102" s="653">
        <v>0</v>
      </c>
      <c r="AB102" s="653">
        <v>0</v>
      </c>
    </row>
    <row r="103" spans="1:28" x14ac:dyDescent="0.2">
      <c r="A103" s="8">
        <v>16700</v>
      </c>
      <c r="B103" s="8" t="s">
        <v>60</v>
      </c>
      <c r="C103" s="8" t="s">
        <v>24</v>
      </c>
      <c r="D103" s="29" t="s">
        <v>2</v>
      </c>
      <c r="E103" s="98">
        <v>0</v>
      </c>
      <c r="F103" s="1">
        <v>5421</v>
      </c>
      <c r="G103" s="1">
        <v>2448</v>
      </c>
      <c r="H103" s="655">
        <v>2973</v>
      </c>
      <c r="J103" s="657">
        <v>208</v>
      </c>
      <c r="K103" s="1">
        <v>104</v>
      </c>
      <c r="L103" s="653">
        <v>104</v>
      </c>
      <c r="N103" s="657">
        <v>209</v>
      </c>
      <c r="O103" s="1">
        <v>209</v>
      </c>
      <c r="P103" s="655">
        <v>0</v>
      </c>
      <c r="R103" s="657">
        <v>45</v>
      </c>
      <c r="S103" s="653">
        <v>45</v>
      </c>
      <c r="T103" s="655">
        <v>0</v>
      </c>
      <c r="V103" s="657"/>
      <c r="W103" s="1">
        <v>0</v>
      </c>
      <c r="X103" s="655">
        <v>0</v>
      </c>
      <c r="Z103" s="653">
        <v>182</v>
      </c>
      <c r="AA103" s="653">
        <v>182</v>
      </c>
      <c r="AB103" s="653">
        <v>0</v>
      </c>
    </row>
    <row r="104" spans="1:28" x14ac:dyDescent="0.2">
      <c r="A104" s="8">
        <v>16900</v>
      </c>
      <c r="B104" s="8" t="s">
        <v>148</v>
      </c>
      <c r="C104" s="8" t="s">
        <v>37</v>
      </c>
      <c r="D104" s="29" t="s">
        <v>2</v>
      </c>
      <c r="E104" s="98" t="s">
        <v>37</v>
      </c>
      <c r="F104" s="1">
        <v>161</v>
      </c>
      <c r="G104" s="1">
        <v>0</v>
      </c>
      <c r="H104" s="655">
        <v>161</v>
      </c>
      <c r="J104" s="657">
        <v>10</v>
      </c>
      <c r="K104" s="1">
        <v>10</v>
      </c>
      <c r="L104" s="653">
        <v>0</v>
      </c>
      <c r="N104" s="657"/>
      <c r="O104" s="1">
        <v>0</v>
      </c>
      <c r="P104" s="655">
        <v>0</v>
      </c>
      <c r="R104" s="657"/>
      <c r="S104" s="653">
        <v>0</v>
      </c>
      <c r="T104" s="655">
        <v>0</v>
      </c>
      <c r="V104" s="657">
        <v>0</v>
      </c>
      <c r="W104" s="1">
        <v>0</v>
      </c>
      <c r="X104" s="655">
        <v>0</v>
      </c>
      <c r="Z104" s="653">
        <v>0</v>
      </c>
      <c r="AA104" s="653">
        <v>0</v>
      </c>
      <c r="AB104" s="653">
        <v>0</v>
      </c>
    </row>
    <row r="105" spans="1:28" x14ac:dyDescent="0.2">
      <c r="A105" s="8">
        <v>16950</v>
      </c>
      <c r="B105" s="8" t="s">
        <v>149</v>
      </c>
      <c r="C105" s="8" t="s">
        <v>37</v>
      </c>
      <c r="D105" s="29" t="s">
        <v>2</v>
      </c>
      <c r="E105" s="98" t="s">
        <v>37</v>
      </c>
      <c r="F105" s="1">
        <v>7939.5</v>
      </c>
      <c r="G105" s="1">
        <v>1495.8000000000002</v>
      </c>
      <c r="H105" s="655">
        <v>6443.7</v>
      </c>
      <c r="J105" s="657">
        <v>151.4</v>
      </c>
      <c r="K105" s="1">
        <v>151.4</v>
      </c>
      <c r="L105" s="653">
        <v>0</v>
      </c>
      <c r="N105" s="657">
        <v>479.6</v>
      </c>
      <c r="O105" s="1">
        <v>479.6</v>
      </c>
      <c r="P105" s="655">
        <v>0</v>
      </c>
      <c r="R105" s="657">
        <v>12.6</v>
      </c>
      <c r="S105" s="653">
        <v>12.6</v>
      </c>
      <c r="T105" s="655">
        <v>0</v>
      </c>
      <c r="V105" s="657">
        <v>355.7</v>
      </c>
      <c r="W105" s="1">
        <v>355.7</v>
      </c>
      <c r="X105" s="655">
        <v>0</v>
      </c>
      <c r="Z105" s="653">
        <v>6632.6</v>
      </c>
      <c r="AA105" s="653">
        <v>6632.6</v>
      </c>
      <c r="AB105" s="653">
        <v>0</v>
      </c>
    </row>
    <row r="106" spans="1:28" x14ac:dyDescent="0.2">
      <c r="A106" s="8">
        <v>17000</v>
      </c>
      <c r="B106" s="8" t="s">
        <v>150</v>
      </c>
      <c r="C106" s="8" t="s">
        <v>23</v>
      </c>
      <c r="D106" s="29" t="s">
        <v>3</v>
      </c>
      <c r="E106" s="98" t="s">
        <v>193</v>
      </c>
      <c r="F106" s="1">
        <v>427.48</v>
      </c>
      <c r="G106" s="1">
        <v>0</v>
      </c>
      <c r="H106" s="655">
        <v>427.48</v>
      </c>
      <c r="J106" s="657">
        <v>38</v>
      </c>
      <c r="K106" s="1">
        <v>38</v>
      </c>
      <c r="L106" s="653">
        <v>0</v>
      </c>
      <c r="N106" s="657">
        <v>132.30000000000001</v>
      </c>
      <c r="O106" s="1">
        <v>132.30000000000001</v>
      </c>
      <c r="P106" s="655">
        <v>0</v>
      </c>
      <c r="R106" s="657"/>
      <c r="S106" s="653">
        <v>0</v>
      </c>
      <c r="T106" s="655">
        <v>0</v>
      </c>
      <c r="V106" s="657">
        <v>14</v>
      </c>
      <c r="W106" s="1">
        <v>14</v>
      </c>
      <c r="X106" s="655">
        <v>0</v>
      </c>
      <c r="Z106" s="653">
        <v>0</v>
      </c>
      <c r="AA106" s="653">
        <v>0</v>
      </c>
      <c r="AB106" s="653">
        <v>0</v>
      </c>
    </row>
    <row r="107" spans="1:28" x14ac:dyDescent="0.2">
      <c r="A107" s="8">
        <v>17040</v>
      </c>
      <c r="B107" s="8" t="s">
        <v>151</v>
      </c>
      <c r="C107" s="8" t="s">
        <v>67</v>
      </c>
      <c r="D107" s="29" t="s">
        <v>1</v>
      </c>
      <c r="E107" s="98" t="s">
        <v>67</v>
      </c>
      <c r="F107" s="1"/>
      <c r="G107" s="1">
        <v>0</v>
      </c>
      <c r="H107" s="655">
        <v>0</v>
      </c>
      <c r="J107" s="657"/>
      <c r="K107" s="1">
        <v>0</v>
      </c>
      <c r="L107" s="653">
        <v>0</v>
      </c>
      <c r="N107" s="657"/>
      <c r="O107" s="1">
        <v>0</v>
      </c>
      <c r="P107" s="655">
        <v>0</v>
      </c>
      <c r="R107" s="657"/>
      <c r="S107" s="653">
        <v>0</v>
      </c>
      <c r="T107" s="655">
        <v>0</v>
      </c>
      <c r="V107" s="657"/>
      <c r="W107" s="1">
        <v>0</v>
      </c>
      <c r="X107" s="655">
        <v>0</v>
      </c>
      <c r="Z107" s="653">
        <v>0</v>
      </c>
      <c r="AA107" s="653">
        <v>0</v>
      </c>
      <c r="AB107" s="653">
        <v>0</v>
      </c>
    </row>
    <row r="108" spans="1:28" x14ac:dyDescent="0.2">
      <c r="A108" s="8">
        <v>17080</v>
      </c>
      <c r="B108" s="8" t="s">
        <v>152</v>
      </c>
      <c r="C108" s="8" t="s">
        <v>67</v>
      </c>
      <c r="D108" s="29" t="s">
        <v>1</v>
      </c>
      <c r="E108" s="98" t="s">
        <v>67</v>
      </c>
      <c r="F108" s="1"/>
      <c r="G108" s="1">
        <v>0</v>
      </c>
      <c r="H108" s="655">
        <v>0</v>
      </c>
      <c r="J108" s="657"/>
      <c r="K108" s="1">
        <v>0</v>
      </c>
      <c r="L108" s="653">
        <v>0</v>
      </c>
      <c r="N108" s="657"/>
      <c r="O108" s="1">
        <v>0</v>
      </c>
      <c r="P108" s="655">
        <v>0</v>
      </c>
      <c r="R108" s="657"/>
      <c r="S108" s="653">
        <v>0</v>
      </c>
      <c r="T108" s="655">
        <v>0</v>
      </c>
      <c r="V108" s="657"/>
      <c r="W108" s="1">
        <v>0</v>
      </c>
      <c r="X108" s="655">
        <v>0</v>
      </c>
      <c r="Z108" s="653">
        <v>0</v>
      </c>
      <c r="AA108" s="653">
        <v>0</v>
      </c>
      <c r="AB108" s="653">
        <v>0</v>
      </c>
    </row>
    <row r="109" spans="1:28" x14ac:dyDescent="0.2">
      <c r="A109" s="8">
        <v>17100</v>
      </c>
      <c r="B109" s="8" t="s">
        <v>153</v>
      </c>
      <c r="C109" s="8">
        <v>0</v>
      </c>
      <c r="D109" s="29" t="s">
        <v>2</v>
      </c>
      <c r="E109" s="98">
        <v>0</v>
      </c>
      <c r="F109" s="1">
        <v>955.09</v>
      </c>
      <c r="G109" s="1">
        <v>0</v>
      </c>
      <c r="H109" s="655">
        <v>955.09</v>
      </c>
      <c r="J109" s="657">
        <v>120</v>
      </c>
      <c r="K109" s="1">
        <v>120</v>
      </c>
      <c r="L109" s="653">
        <v>0</v>
      </c>
      <c r="N109" s="657"/>
      <c r="O109" s="1">
        <v>0</v>
      </c>
      <c r="P109" s="655">
        <v>0</v>
      </c>
      <c r="R109" s="657"/>
      <c r="S109" s="653">
        <v>0</v>
      </c>
      <c r="T109" s="655">
        <v>0</v>
      </c>
      <c r="V109" s="657"/>
      <c r="W109" s="1">
        <v>0</v>
      </c>
      <c r="X109" s="655">
        <v>0</v>
      </c>
      <c r="Z109" s="653">
        <v>0</v>
      </c>
      <c r="AA109" s="653">
        <v>0</v>
      </c>
      <c r="AB109" s="653">
        <v>0</v>
      </c>
    </row>
    <row r="110" spans="1:28" x14ac:dyDescent="0.2">
      <c r="A110" s="8">
        <v>17150</v>
      </c>
      <c r="B110" s="8" t="s">
        <v>154</v>
      </c>
      <c r="C110" s="8" t="s">
        <v>17</v>
      </c>
      <c r="D110" s="29" t="s">
        <v>2</v>
      </c>
      <c r="E110" s="98">
        <v>0</v>
      </c>
      <c r="F110" s="1">
        <v>8943</v>
      </c>
      <c r="G110" s="1">
        <v>0</v>
      </c>
      <c r="H110" s="655">
        <v>8943</v>
      </c>
      <c r="J110" s="657">
        <v>452</v>
      </c>
      <c r="K110" s="1">
        <v>339</v>
      </c>
      <c r="L110" s="653">
        <v>113</v>
      </c>
      <c r="N110" s="657">
        <v>1043</v>
      </c>
      <c r="O110" s="1">
        <v>1043</v>
      </c>
      <c r="P110" s="655">
        <v>0</v>
      </c>
      <c r="R110" s="657">
        <v>168</v>
      </c>
      <c r="S110" s="653">
        <v>168</v>
      </c>
      <c r="T110" s="655">
        <v>0</v>
      </c>
      <c r="V110" s="657"/>
      <c r="W110" s="1">
        <v>0</v>
      </c>
      <c r="X110" s="655">
        <v>0</v>
      </c>
      <c r="Z110" s="653">
        <v>0</v>
      </c>
      <c r="AA110" s="653">
        <v>0</v>
      </c>
      <c r="AB110" s="653">
        <v>0</v>
      </c>
    </row>
    <row r="111" spans="1:28" x14ac:dyDescent="0.2">
      <c r="A111" s="8">
        <v>17200</v>
      </c>
      <c r="B111" s="8" t="s">
        <v>61</v>
      </c>
      <c r="C111" s="8" t="s">
        <v>17</v>
      </c>
      <c r="D111" s="29" t="s">
        <v>2</v>
      </c>
      <c r="E111" s="98">
        <v>0</v>
      </c>
      <c r="F111" s="1">
        <v>3444</v>
      </c>
      <c r="G111" s="1">
        <v>3205</v>
      </c>
      <c r="H111" s="655">
        <v>239</v>
      </c>
      <c r="J111" s="657">
        <v>429</v>
      </c>
      <c r="K111" s="1">
        <v>322</v>
      </c>
      <c r="L111" s="653">
        <v>107</v>
      </c>
      <c r="N111" s="657">
        <v>531</v>
      </c>
      <c r="O111" s="1">
        <v>511</v>
      </c>
      <c r="P111" s="655">
        <v>20</v>
      </c>
      <c r="R111" s="657">
        <v>6</v>
      </c>
      <c r="S111" s="653">
        <v>6</v>
      </c>
      <c r="T111" s="655">
        <v>0</v>
      </c>
      <c r="V111" s="657">
        <v>21</v>
      </c>
      <c r="W111" s="1">
        <v>21</v>
      </c>
      <c r="X111" s="655">
        <v>0</v>
      </c>
      <c r="Z111" s="653">
        <v>0</v>
      </c>
      <c r="AA111" s="653">
        <v>0</v>
      </c>
      <c r="AB111" s="653">
        <v>0</v>
      </c>
    </row>
    <row r="112" spans="1:28" x14ac:dyDescent="0.2">
      <c r="A112" s="8">
        <v>17310</v>
      </c>
      <c r="B112" s="8" t="s">
        <v>155</v>
      </c>
      <c r="C112" s="8" t="s">
        <v>16</v>
      </c>
      <c r="D112" s="29" t="s">
        <v>1</v>
      </c>
      <c r="E112" s="98" t="s">
        <v>194</v>
      </c>
      <c r="F112" s="1">
        <v>0.96</v>
      </c>
      <c r="G112" s="1">
        <v>0</v>
      </c>
      <c r="H112" s="655">
        <v>0.96</v>
      </c>
      <c r="J112" s="657"/>
      <c r="K112" s="1">
        <v>0</v>
      </c>
      <c r="L112" s="653">
        <v>0</v>
      </c>
      <c r="N112" s="657"/>
      <c r="O112" s="1">
        <v>0</v>
      </c>
      <c r="P112" s="655">
        <v>0</v>
      </c>
      <c r="R112" s="657"/>
      <c r="S112" s="653">
        <v>0</v>
      </c>
      <c r="T112" s="655">
        <v>0</v>
      </c>
      <c r="V112" s="657"/>
      <c r="W112" s="1">
        <v>0</v>
      </c>
      <c r="X112" s="655">
        <v>0</v>
      </c>
      <c r="Z112" s="653">
        <v>0</v>
      </c>
      <c r="AA112" s="653">
        <v>0</v>
      </c>
      <c r="AB112" s="653">
        <v>0</v>
      </c>
    </row>
    <row r="113" spans="1:28" x14ac:dyDescent="0.2">
      <c r="A113" s="8">
        <v>17350</v>
      </c>
      <c r="B113" s="8" t="s">
        <v>156</v>
      </c>
      <c r="C113" s="8" t="s">
        <v>21</v>
      </c>
      <c r="D113" s="29" t="s">
        <v>1</v>
      </c>
      <c r="E113" s="98" t="s">
        <v>190</v>
      </c>
      <c r="F113" s="1">
        <v>25</v>
      </c>
      <c r="G113" s="1">
        <v>0</v>
      </c>
      <c r="H113" s="655">
        <v>25</v>
      </c>
      <c r="J113" s="657"/>
      <c r="K113" s="1">
        <v>0</v>
      </c>
      <c r="L113" s="653">
        <v>0</v>
      </c>
      <c r="N113" s="657"/>
      <c r="O113" s="1">
        <v>0</v>
      </c>
      <c r="P113" s="655">
        <v>0</v>
      </c>
      <c r="R113" s="657"/>
      <c r="S113" s="653">
        <v>0</v>
      </c>
      <c r="T113" s="655">
        <v>0</v>
      </c>
      <c r="V113" s="657"/>
      <c r="W113" s="1">
        <v>0</v>
      </c>
      <c r="X113" s="655">
        <v>0</v>
      </c>
      <c r="Z113" s="653">
        <v>5</v>
      </c>
      <c r="AA113" s="653">
        <v>0</v>
      </c>
      <c r="AB113" s="653">
        <v>5</v>
      </c>
    </row>
    <row r="114" spans="1:28" x14ac:dyDescent="0.2">
      <c r="A114" s="8">
        <v>17400</v>
      </c>
      <c r="B114" s="8" t="s">
        <v>157</v>
      </c>
      <c r="C114" s="8" t="s">
        <v>16</v>
      </c>
      <c r="D114" s="29" t="s">
        <v>1</v>
      </c>
      <c r="E114" s="98" t="s">
        <v>185</v>
      </c>
      <c r="F114" s="1"/>
      <c r="G114" s="1">
        <v>0</v>
      </c>
      <c r="H114" s="655">
        <v>0</v>
      </c>
      <c r="J114" s="657"/>
      <c r="K114" s="1">
        <v>0</v>
      </c>
      <c r="L114" s="653">
        <v>0</v>
      </c>
      <c r="N114" s="657"/>
      <c r="O114" s="1">
        <v>0</v>
      </c>
      <c r="P114" s="655">
        <v>0</v>
      </c>
      <c r="R114" s="657"/>
      <c r="S114" s="653">
        <v>0</v>
      </c>
      <c r="T114" s="655">
        <v>0</v>
      </c>
      <c r="V114" s="657"/>
      <c r="W114" s="1">
        <v>0</v>
      </c>
      <c r="X114" s="655">
        <v>0</v>
      </c>
      <c r="Z114" s="653">
        <v>0</v>
      </c>
      <c r="AA114" s="653">
        <v>0</v>
      </c>
      <c r="AB114" s="653">
        <v>0</v>
      </c>
    </row>
    <row r="115" spans="1:28" x14ac:dyDescent="0.2">
      <c r="A115" s="8">
        <v>17420</v>
      </c>
      <c r="B115" s="8" t="s">
        <v>158</v>
      </c>
      <c r="C115" s="8" t="s">
        <v>18</v>
      </c>
      <c r="D115" s="29" t="s">
        <v>2</v>
      </c>
      <c r="E115" s="98">
        <v>0</v>
      </c>
      <c r="F115" s="1">
        <v>7050</v>
      </c>
      <c r="G115" s="1">
        <v>0</v>
      </c>
      <c r="H115" s="655">
        <v>7050</v>
      </c>
      <c r="J115" s="657">
        <v>306.77</v>
      </c>
      <c r="K115" s="1">
        <v>0</v>
      </c>
      <c r="L115" s="653">
        <v>306.77</v>
      </c>
      <c r="N115" s="657">
        <v>698.89</v>
      </c>
      <c r="O115" s="1">
        <v>698.89</v>
      </c>
      <c r="P115" s="655">
        <v>0</v>
      </c>
      <c r="R115" s="657"/>
      <c r="S115" s="653">
        <v>0</v>
      </c>
      <c r="T115" s="655">
        <v>0</v>
      </c>
      <c r="V115" s="657"/>
      <c r="W115" s="1">
        <v>0</v>
      </c>
      <c r="X115" s="655">
        <v>0</v>
      </c>
      <c r="Z115" s="653">
        <v>701.43</v>
      </c>
      <c r="AA115" s="653">
        <v>701.43</v>
      </c>
      <c r="AB115" s="653">
        <v>0</v>
      </c>
    </row>
    <row r="116" spans="1:28" x14ac:dyDescent="0.2">
      <c r="A116" s="8">
        <v>17550</v>
      </c>
      <c r="B116" s="8" t="s">
        <v>159</v>
      </c>
      <c r="C116" s="8" t="s">
        <v>19</v>
      </c>
      <c r="D116" s="29" t="s">
        <v>3</v>
      </c>
      <c r="E116" s="98" t="s">
        <v>186</v>
      </c>
      <c r="F116" s="1">
        <v>1066</v>
      </c>
      <c r="G116" s="1">
        <v>0</v>
      </c>
      <c r="H116" s="655">
        <v>1066</v>
      </c>
      <c r="J116" s="657"/>
      <c r="K116" s="1">
        <v>0</v>
      </c>
      <c r="L116" s="653">
        <v>0</v>
      </c>
      <c r="N116" s="657"/>
      <c r="O116" s="1">
        <v>0</v>
      </c>
      <c r="P116" s="655">
        <v>0</v>
      </c>
      <c r="R116" s="657"/>
      <c r="S116" s="653">
        <v>0</v>
      </c>
      <c r="T116" s="655">
        <v>0</v>
      </c>
      <c r="V116" s="657"/>
      <c r="W116" s="1">
        <v>0</v>
      </c>
      <c r="X116" s="655">
        <v>0</v>
      </c>
      <c r="Z116" s="653">
        <v>0</v>
      </c>
      <c r="AA116" s="653">
        <v>0</v>
      </c>
      <c r="AB116" s="653">
        <v>0</v>
      </c>
    </row>
    <row r="117" spans="1:28" x14ac:dyDescent="0.2">
      <c r="A117" s="8">
        <v>17620</v>
      </c>
      <c r="B117" s="8" t="s">
        <v>160</v>
      </c>
      <c r="C117" s="8" t="s">
        <v>23</v>
      </c>
      <c r="D117" s="29" t="s">
        <v>3</v>
      </c>
      <c r="E117" s="98" t="s">
        <v>193</v>
      </c>
      <c r="F117" s="1">
        <v>84.93</v>
      </c>
      <c r="G117" s="1">
        <v>0</v>
      </c>
      <c r="H117" s="655">
        <v>84.93</v>
      </c>
      <c r="J117" s="657"/>
      <c r="K117" s="1">
        <v>0</v>
      </c>
      <c r="L117" s="653">
        <v>0</v>
      </c>
      <c r="N117" s="657"/>
      <c r="O117" s="1">
        <v>0</v>
      </c>
      <c r="P117" s="655">
        <v>0</v>
      </c>
      <c r="R117" s="657"/>
      <c r="S117" s="653">
        <v>0</v>
      </c>
      <c r="T117" s="655">
        <v>0</v>
      </c>
      <c r="V117" s="657"/>
      <c r="W117" s="1">
        <v>0</v>
      </c>
      <c r="X117" s="655">
        <v>0</v>
      </c>
      <c r="Z117" s="653">
        <v>0</v>
      </c>
      <c r="AA117" s="653">
        <v>0</v>
      </c>
      <c r="AB117" s="653">
        <v>0</v>
      </c>
    </row>
    <row r="118" spans="1:28" x14ac:dyDescent="0.2">
      <c r="A118" s="8">
        <v>17640</v>
      </c>
      <c r="B118" s="8" t="s">
        <v>161</v>
      </c>
      <c r="C118" s="8" t="s">
        <v>67</v>
      </c>
      <c r="D118" s="29" t="s">
        <v>1</v>
      </c>
      <c r="E118" s="98" t="s">
        <v>67</v>
      </c>
      <c r="F118" s="1"/>
      <c r="G118" s="1">
        <v>0</v>
      </c>
      <c r="H118" s="655">
        <v>0</v>
      </c>
      <c r="J118" s="657"/>
      <c r="K118" s="1">
        <v>0</v>
      </c>
      <c r="L118" s="653">
        <v>0</v>
      </c>
      <c r="N118" s="657"/>
      <c r="O118" s="1">
        <v>0</v>
      </c>
      <c r="P118" s="655">
        <v>0</v>
      </c>
      <c r="R118" s="657"/>
      <c r="S118" s="653">
        <v>0</v>
      </c>
      <c r="T118" s="655">
        <v>0</v>
      </c>
      <c r="V118" s="657"/>
      <c r="W118" s="1">
        <v>0</v>
      </c>
      <c r="X118" s="655">
        <v>0</v>
      </c>
      <c r="Z118" s="653">
        <v>0</v>
      </c>
      <c r="AA118" s="653">
        <v>0</v>
      </c>
      <c r="AB118" s="653">
        <v>0</v>
      </c>
    </row>
    <row r="119" spans="1:28" x14ac:dyDescent="0.2">
      <c r="A119" s="8">
        <v>17650</v>
      </c>
      <c r="B119" s="8" t="s">
        <v>162</v>
      </c>
      <c r="C119" s="8" t="s">
        <v>16</v>
      </c>
      <c r="D119" s="29" t="s">
        <v>1</v>
      </c>
      <c r="E119" s="98" t="s">
        <v>185</v>
      </c>
      <c r="F119" s="1"/>
      <c r="G119" s="1">
        <v>0</v>
      </c>
      <c r="H119" s="655">
        <v>0</v>
      </c>
      <c r="J119" s="657"/>
      <c r="K119" s="1">
        <v>0</v>
      </c>
      <c r="L119" s="653">
        <v>0</v>
      </c>
      <c r="N119" s="657"/>
      <c r="O119" s="1">
        <v>0</v>
      </c>
      <c r="P119" s="655">
        <v>0</v>
      </c>
      <c r="R119" s="657"/>
      <c r="S119" s="653">
        <v>0</v>
      </c>
      <c r="T119" s="655">
        <v>0</v>
      </c>
      <c r="V119" s="657"/>
      <c r="W119" s="1">
        <v>0</v>
      </c>
      <c r="X119" s="655">
        <v>0</v>
      </c>
      <c r="Z119" s="653">
        <v>0</v>
      </c>
      <c r="AA119" s="653">
        <v>0</v>
      </c>
      <c r="AB119" s="653">
        <v>0</v>
      </c>
    </row>
    <row r="120" spans="1:28" x14ac:dyDescent="0.2">
      <c r="A120" s="8">
        <v>17750</v>
      </c>
      <c r="B120" s="8" t="s">
        <v>163</v>
      </c>
      <c r="C120" s="8" t="s">
        <v>21</v>
      </c>
      <c r="D120" s="29" t="s">
        <v>1</v>
      </c>
      <c r="E120" s="98">
        <v>0</v>
      </c>
      <c r="F120" s="1">
        <v>115</v>
      </c>
      <c r="G120" s="1">
        <v>0</v>
      </c>
      <c r="H120" s="655">
        <v>115</v>
      </c>
      <c r="J120" s="657"/>
      <c r="K120" s="1">
        <v>0</v>
      </c>
      <c r="L120" s="653">
        <v>0</v>
      </c>
      <c r="N120" s="657"/>
      <c r="O120" s="1">
        <v>0</v>
      </c>
      <c r="P120" s="655">
        <v>0</v>
      </c>
      <c r="R120" s="657"/>
      <c r="S120" s="653">
        <v>0</v>
      </c>
      <c r="T120" s="655">
        <v>0</v>
      </c>
      <c r="V120" s="657"/>
      <c r="W120" s="1">
        <v>0</v>
      </c>
      <c r="X120" s="655">
        <v>0</v>
      </c>
      <c r="Z120" s="653">
        <v>0</v>
      </c>
      <c r="AA120" s="653">
        <v>0</v>
      </c>
      <c r="AB120" s="653">
        <v>0</v>
      </c>
    </row>
    <row r="121" spans="1:28" x14ac:dyDescent="0.2">
      <c r="A121" s="8">
        <v>17850</v>
      </c>
      <c r="B121" s="8" t="s">
        <v>164</v>
      </c>
      <c r="C121" s="8" t="s">
        <v>16</v>
      </c>
      <c r="D121" s="29" t="s">
        <v>1</v>
      </c>
      <c r="E121" s="98" t="s">
        <v>194</v>
      </c>
      <c r="F121" s="1"/>
      <c r="G121" s="1">
        <v>0</v>
      </c>
      <c r="H121" s="655">
        <v>0</v>
      </c>
      <c r="J121" s="657"/>
      <c r="K121" s="1">
        <v>0</v>
      </c>
      <c r="L121" s="653">
        <v>0</v>
      </c>
      <c r="N121" s="657"/>
      <c r="O121" s="1">
        <v>0</v>
      </c>
      <c r="P121" s="655">
        <v>0</v>
      </c>
      <c r="R121" s="657"/>
      <c r="S121" s="653">
        <v>0</v>
      </c>
      <c r="T121" s="655">
        <v>0</v>
      </c>
      <c r="V121" s="657"/>
      <c r="W121" s="1">
        <v>0</v>
      </c>
      <c r="X121" s="655">
        <v>0</v>
      </c>
      <c r="Z121" s="653">
        <v>0</v>
      </c>
      <c r="AA121" s="653">
        <v>0</v>
      </c>
      <c r="AB121" s="653">
        <v>0</v>
      </c>
    </row>
    <row r="122" spans="1:28" x14ac:dyDescent="0.2">
      <c r="A122" s="8">
        <v>17900</v>
      </c>
      <c r="B122" s="8" t="s">
        <v>165</v>
      </c>
      <c r="C122" s="8" t="s">
        <v>38</v>
      </c>
      <c r="D122" s="29" t="s">
        <v>1</v>
      </c>
      <c r="E122" s="98" t="s">
        <v>192</v>
      </c>
      <c r="F122" s="1"/>
      <c r="G122" s="1">
        <v>0</v>
      </c>
      <c r="H122" s="655">
        <v>0</v>
      </c>
      <c r="J122" s="657"/>
      <c r="K122" s="1">
        <v>0</v>
      </c>
      <c r="L122" s="653">
        <v>0</v>
      </c>
      <c r="N122" s="657"/>
      <c r="O122" s="1">
        <v>0</v>
      </c>
      <c r="P122" s="655">
        <v>0</v>
      </c>
      <c r="R122" s="657"/>
      <c r="S122" s="653">
        <v>0</v>
      </c>
      <c r="T122" s="655">
        <v>0</v>
      </c>
      <c r="V122" s="657"/>
      <c r="W122" s="1">
        <v>0</v>
      </c>
      <c r="X122" s="655">
        <v>0</v>
      </c>
      <c r="Z122" s="653">
        <v>0</v>
      </c>
      <c r="AA122" s="653">
        <v>0</v>
      </c>
      <c r="AB122" s="653">
        <v>0</v>
      </c>
    </row>
    <row r="123" spans="1:28" x14ac:dyDescent="0.2">
      <c r="A123" s="8">
        <v>17950</v>
      </c>
      <c r="B123" s="8" t="s">
        <v>166</v>
      </c>
      <c r="C123" s="8" t="s">
        <v>38</v>
      </c>
      <c r="D123" s="29" t="s">
        <v>1</v>
      </c>
      <c r="E123" s="98" t="s">
        <v>191</v>
      </c>
      <c r="F123" s="1"/>
      <c r="G123" s="1">
        <v>0</v>
      </c>
      <c r="H123" s="655">
        <v>0</v>
      </c>
      <c r="J123" s="657"/>
      <c r="K123" s="1">
        <v>0</v>
      </c>
      <c r="L123" s="653">
        <v>0</v>
      </c>
      <c r="N123" s="657"/>
      <c r="O123" s="1">
        <v>0</v>
      </c>
      <c r="P123" s="655">
        <v>0</v>
      </c>
      <c r="R123" s="657"/>
      <c r="S123" s="653">
        <v>0</v>
      </c>
      <c r="T123" s="655">
        <v>0</v>
      </c>
      <c r="V123" s="657"/>
      <c r="W123" s="1">
        <v>0</v>
      </c>
      <c r="X123" s="655">
        <v>0</v>
      </c>
      <c r="Z123" s="653">
        <v>0</v>
      </c>
      <c r="AA123" s="653">
        <v>0</v>
      </c>
      <c r="AB123" s="653">
        <v>0</v>
      </c>
    </row>
    <row r="124" spans="1:28" x14ac:dyDescent="0.2">
      <c r="A124" s="8">
        <v>18020</v>
      </c>
      <c r="B124" s="8" t="s">
        <v>167</v>
      </c>
      <c r="C124" s="8" t="s">
        <v>38</v>
      </c>
      <c r="D124" s="29" t="s">
        <v>1</v>
      </c>
      <c r="E124" s="98" t="s">
        <v>191</v>
      </c>
      <c r="F124" s="1"/>
      <c r="G124" s="1">
        <v>0</v>
      </c>
      <c r="H124" s="655">
        <v>0</v>
      </c>
      <c r="J124" s="657"/>
      <c r="K124" s="1">
        <v>0</v>
      </c>
      <c r="L124" s="653">
        <v>0</v>
      </c>
      <c r="N124" s="657"/>
      <c r="O124" s="1">
        <v>0</v>
      </c>
      <c r="P124" s="655">
        <v>0</v>
      </c>
      <c r="R124" s="657"/>
      <c r="S124" s="653">
        <v>0</v>
      </c>
      <c r="T124" s="655">
        <v>0</v>
      </c>
      <c r="V124" s="657"/>
      <c r="W124" s="1">
        <v>0</v>
      </c>
      <c r="X124" s="655">
        <v>0</v>
      </c>
      <c r="Z124" s="653">
        <v>0</v>
      </c>
      <c r="AA124" s="653">
        <v>0</v>
      </c>
      <c r="AB124" s="653">
        <v>0</v>
      </c>
    </row>
    <row r="125" spans="1:28" x14ac:dyDescent="0.2">
      <c r="A125" s="8">
        <v>18050</v>
      </c>
      <c r="B125" s="8" t="s">
        <v>62</v>
      </c>
      <c r="C125" s="8" t="s">
        <v>17</v>
      </c>
      <c r="D125" s="29" t="s">
        <v>2</v>
      </c>
      <c r="E125" s="98">
        <v>0</v>
      </c>
      <c r="F125" s="1">
        <v>1938</v>
      </c>
      <c r="G125" s="1">
        <v>1642</v>
      </c>
      <c r="H125" s="655">
        <v>296</v>
      </c>
      <c r="J125" s="657">
        <v>99</v>
      </c>
      <c r="K125" s="1">
        <v>99</v>
      </c>
      <c r="L125" s="653">
        <v>0</v>
      </c>
      <c r="N125" s="657">
        <v>376</v>
      </c>
      <c r="O125" s="1">
        <v>376</v>
      </c>
      <c r="P125" s="655">
        <v>0</v>
      </c>
      <c r="R125" s="657"/>
      <c r="S125" s="653">
        <v>0</v>
      </c>
      <c r="T125" s="655">
        <v>0</v>
      </c>
      <c r="V125" s="657">
        <v>260</v>
      </c>
      <c r="W125" s="1">
        <v>260</v>
      </c>
      <c r="X125" s="655">
        <v>0</v>
      </c>
      <c r="Z125" s="653">
        <v>0</v>
      </c>
      <c r="AA125" s="653">
        <v>0</v>
      </c>
      <c r="AB125" s="653">
        <v>0</v>
      </c>
    </row>
    <row r="126" spans="1:28" x14ac:dyDescent="0.2">
      <c r="A126" s="8">
        <v>18100</v>
      </c>
      <c r="B126" s="8" t="s">
        <v>168</v>
      </c>
      <c r="C126" s="8" t="s">
        <v>38</v>
      </c>
      <c r="D126" s="29" t="s">
        <v>1</v>
      </c>
      <c r="E126" s="98" t="s">
        <v>188</v>
      </c>
      <c r="F126" s="1"/>
      <c r="G126" s="1">
        <v>0</v>
      </c>
      <c r="H126" s="655">
        <v>0</v>
      </c>
      <c r="J126" s="657"/>
      <c r="K126" s="1">
        <v>0</v>
      </c>
      <c r="L126" s="653">
        <v>0</v>
      </c>
      <c r="N126" s="657"/>
      <c r="O126" s="1">
        <v>0</v>
      </c>
      <c r="P126" s="655">
        <v>0</v>
      </c>
      <c r="R126" s="657"/>
      <c r="S126" s="653">
        <v>0</v>
      </c>
      <c r="T126" s="655">
        <v>0</v>
      </c>
      <c r="V126" s="657"/>
      <c r="W126" s="1">
        <v>0</v>
      </c>
      <c r="X126" s="655">
        <v>0</v>
      </c>
      <c r="Z126" s="653">
        <v>0</v>
      </c>
      <c r="AA126" s="653">
        <v>0</v>
      </c>
      <c r="AB126" s="653">
        <v>0</v>
      </c>
    </row>
    <row r="127" spans="1:28" x14ac:dyDescent="0.2">
      <c r="A127" s="8">
        <v>18200</v>
      </c>
      <c r="B127" s="8" t="s">
        <v>169</v>
      </c>
      <c r="C127" s="8" t="s">
        <v>66</v>
      </c>
      <c r="D127" s="29" t="s">
        <v>1</v>
      </c>
      <c r="E127" s="98" t="s">
        <v>187</v>
      </c>
      <c r="F127" s="1"/>
      <c r="G127" s="1">
        <v>0</v>
      </c>
      <c r="H127" s="655">
        <v>0</v>
      </c>
      <c r="J127" s="657"/>
      <c r="K127" s="1">
        <v>0</v>
      </c>
      <c r="L127" s="653">
        <v>0</v>
      </c>
      <c r="N127" s="657"/>
      <c r="O127" s="1">
        <v>0</v>
      </c>
      <c r="P127" s="655">
        <v>0</v>
      </c>
      <c r="R127" s="657"/>
      <c r="S127" s="653">
        <v>0</v>
      </c>
      <c r="T127" s="655">
        <v>0</v>
      </c>
      <c r="V127" s="657"/>
      <c r="W127" s="1">
        <v>0</v>
      </c>
      <c r="X127" s="655">
        <v>0</v>
      </c>
      <c r="Z127" s="653">
        <v>0</v>
      </c>
      <c r="AA127" s="653">
        <v>0</v>
      </c>
      <c r="AB127" s="653">
        <v>0</v>
      </c>
    </row>
    <row r="128" spans="1:28" x14ac:dyDescent="0.2">
      <c r="A128" s="8">
        <v>18250</v>
      </c>
      <c r="B128" s="8" t="s">
        <v>63</v>
      </c>
      <c r="C128" s="8" t="s">
        <v>24</v>
      </c>
      <c r="D128" s="29" t="s">
        <v>2</v>
      </c>
      <c r="E128" s="98">
        <v>0</v>
      </c>
      <c r="F128" s="1">
        <v>2159.98</v>
      </c>
      <c r="G128" s="1">
        <v>1012.48</v>
      </c>
      <c r="H128" s="655">
        <v>1147.5</v>
      </c>
      <c r="J128" s="657"/>
      <c r="K128" s="1">
        <v>0</v>
      </c>
      <c r="L128" s="653">
        <v>0</v>
      </c>
      <c r="N128" s="657"/>
      <c r="O128" s="1">
        <v>0</v>
      </c>
      <c r="P128" s="655">
        <v>0</v>
      </c>
      <c r="R128" s="657"/>
      <c r="S128" s="653">
        <v>0</v>
      </c>
      <c r="T128" s="655">
        <v>0</v>
      </c>
      <c r="V128" s="657">
        <v>25</v>
      </c>
      <c r="W128" s="1">
        <v>25</v>
      </c>
      <c r="X128" s="655">
        <v>0</v>
      </c>
      <c r="Z128" s="653">
        <v>0</v>
      </c>
      <c r="AA128" s="653">
        <v>0</v>
      </c>
      <c r="AB128" s="653">
        <v>0</v>
      </c>
    </row>
    <row r="129" spans="1:28" x14ac:dyDescent="0.2">
      <c r="A129" s="8">
        <v>18350</v>
      </c>
      <c r="B129" s="8" t="s">
        <v>64</v>
      </c>
      <c r="C129" s="8" t="s">
        <v>67</v>
      </c>
      <c r="D129" s="29" t="s">
        <v>2</v>
      </c>
      <c r="E129" s="98" t="s">
        <v>67</v>
      </c>
      <c r="F129" s="1">
        <v>999</v>
      </c>
      <c r="G129" s="1">
        <v>0</v>
      </c>
      <c r="H129" s="655">
        <v>999</v>
      </c>
      <c r="J129" s="657">
        <v>38</v>
      </c>
      <c r="K129" s="1">
        <v>0</v>
      </c>
      <c r="L129" s="653">
        <v>38</v>
      </c>
      <c r="N129" s="657">
        <v>224</v>
      </c>
      <c r="O129" s="1">
        <v>0</v>
      </c>
      <c r="P129" s="655">
        <v>224</v>
      </c>
      <c r="R129" s="657">
        <v>47.5</v>
      </c>
      <c r="S129" s="653">
        <v>0</v>
      </c>
      <c r="T129" s="655">
        <v>47.5</v>
      </c>
      <c r="V129" s="657"/>
      <c r="W129" s="1">
        <v>0</v>
      </c>
      <c r="X129" s="655">
        <v>0</v>
      </c>
      <c r="Z129" s="653">
        <v>0</v>
      </c>
      <c r="AA129" s="653">
        <v>0</v>
      </c>
      <c r="AB129" s="653">
        <v>0</v>
      </c>
    </row>
    <row r="130" spans="1:28" x14ac:dyDescent="0.2">
      <c r="A130" s="8">
        <v>18400</v>
      </c>
      <c r="B130" s="8" t="s">
        <v>170</v>
      </c>
      <c r="C130" s="8" t="s">
        <v>182</v>
      </c>
      <c r="D130" s="29" t="s">
        <v>3</v>
      </c>
      <c r="E130" s="98">
        <v>0</v>
      </c>
      <c r="F130" s="1">
        <v>2359</v>
      </c>
      <c r="G130" s="1">
        <v>0</v>
      </c>
      <c r="H130" s="655">
        <v>2359</v>
      </c>
      <c r="J130" s="657">
        <v>0</v>
      </c>
      <c r="K130" s="1">
        <v>0</v>
      </c>
      <c r="L130" s="653">
        <v>0</v>
      </c>
      <c r="N130" s="657">
        <v>290</v>
      </c>
      <c r="O130" s="1">
        <v>290</v>
      </c>
      <c r="P130" s="655">
        <v>0</v>
      </c>
      <c r="R130" s="657">
        <v>0</v>
      </c>
      <c r="S130" s="653">
        <v>0</v>
      </c>
      <c r="T130" s="655">
        <v>0</v>
      </c>
      <c r="V130" s="657">
        <v>0</v>
      </c>
      <c r="W130" s="1">
        <v>0</v>
      </c>
      <c r="X130" s="655">
        <v>0</v>
      </c>
      <c r="Z130" s="653">
        <v>0</v>
      </c>
      <c r="AA130" s="653">
        <v>0</v>
      </c>
      <c r="AB130" s="653">
        <v>0</v>
      </c>
    </row>
    <row r="131" spans="1:28" x14ac:dyDescent="0.2">
      <c r="A131" s="8">
        <v>18450</v>
      </c>
      <c r="B131" s="8" t="s">
        <v>171</v>
      </c>
      <c r="C131" s="8" t="s">
        <v>37</v>
      </c>
      <c r="D131" s="29" t="s">
        <v>2</v>
      </c>
      <c r="E131" s="98" t="s">
        <v>37</v>
      </c>
      <c r="F131" s="1">
        <v>3521.7</v>
      </c>
      <c r="G131" s="1">
        <v>0</v>
      </c>
      <c r="H131" s="655">
        <v>3521.7</v>
      </c>
      <c r="J131" s="657">
        <v>542.85</v>
      </c>
      <c r="K131" s="1">
        <v>542.85</v>
      </c>
      <c r="L131" s="653">
        <v>0</v>
      </c>
      <c r="N131" s="657">
        <v>387.92</v>
      </c>
      <c r="O131" s="1">
        <v>387.92</v>
      </c>
      <c r="P131" s="655">
        <v>0</v>
      </c>
      <c r="R131" s="657">
        <v>85.82</v>
      </c>
      <c r="S131" s="653">
        <v>85.82</v>
      </c>
      <c r="T131" s="655">
        <v>0</v>
      </c>
      <c r="V131" s="657">
        <v>44.7</v>
      </c>
      <c r="W131" s="1">
        <v>44.7</v>
      </c>
      <c r="X131" s="655">
        <v>0</v>
      </c>
      <c r="Z131" s="653">
        <v>0</v>
      </c>
      <c r="AA131" s="653">
        <v>0</v>
      </c>
      <c r="AB131" s="653">
        <v>0</v>
      </c>
    </row>
    <row r="132" spans="1:28" x14ac:dyDescent="0.2">
      <c r="A132" s="8">
        <v>18500</v>
      </c>
      <c r="B132" s="8" t="s">
        <v>65</v>
      </c>
      <c r="C132" s="8" t="s">
        <v>17</v>
      </c>
      <c r="D132" s="29" t="s">
        <v>2</v>
      </c>
      <c r="E132" s="98">
        <v>0</v>
      </c>
      <c r="F132" s="1">
        <v>0</v>
      </c>
      <c r="G132" s="1">
        <v>0</v>
      </c>
      <c r="H132" s="655">
        <v>0</v>
      </c>
      <c r="J132" s="657">
        <v>2364</v>
      </c>
      <c r="K132" s="1">
        <v>2364</v>
      </c>
      <c r="L132" s="653">
        <v>0</v>
      </c>
      <c r="N132" s="657"/>
      <c r="O132" s="1">
        <v>0</v>
      </c>
      <c r="P132" s="655">
        <v>0</v>
      </c>
      <c r="R132" s="657"/>
      <c r="S132" s="653">
        <v>0</v>
      </c>
      <c r="T132" s="655">
        <v>0</v>
      </c>
      <c r="V132" s="657">
        <v>16.600000000000001</v>
      </c>
      <c r="W132" s="1">
        <v>16.600000000000001</v>
      </c>
      <c r="X132" s="655">
        <v>0</v>
      </c>
      <c r="Z132" s="653">
        <v>0</v>
      </c>
      <c r="AA132" s="653">
        <v>0</v>
      </c>
      <c r="AB132" s="653">
        <v>0</v>
      </c>
    </row>
    <row r="133" spans="1:28" ht="13.5" thickBot="1" x14ac:dyDescent="0.25">
      <c r="A133" s="8">
        <v>18710</v>
      </c>
      <c r="B133" s="8" t="s">
        <v>172</v>
      </c>
      <c r="C133" s="8" t="s">
        <v>67</v>
      </c>
      <c r="D133" s="29" t="s">
        <v>1</v>
      </c>
      <c r="E133" s="98" t="s">
        <v>67</v>
      </c>
      <c r="F133" s="1">
        <v>0</v>
      </c>
      <c r="G133" s="1">
        <v>0</v>
      </c>
      <c r="H133" s="655">
        <v>0</v>
      </c>
      <c r="J133" s="657"/>
      <c r="K133" s="1">
        <v>0</v>
      </c>
      <c r="L133" s="653">
        <v>0</v>
      </c>
      <c r="N133" s="657"/>
      <c r="O133" s="1">
        <v>0</v>
      </c>
      <c r="P133" s="655">
        <v>0</v>
      </c>
      <c r="R133" s="657"/>
      <c r="S133" s="653">
        <v>0</v>
      </c>
      <c r="T133" s="655">
        <v>0</v>
      </c>
      <c r="V133" s="657"/>
      <c r="W133" s="1">
        <v>0</v>
      </c>
      <c r="X133" s="655">
        <v>0</v>
      </c>
      <c r="Z133" s="653">
        <v>0</v>
      </c>
      <c r="AA133" s="653">
        <v>0</v>
      </c>
      <c r="AB133" s="653">
        <v>0</v>
      </c>
    </row>
    <row r="134" spans="1:28" ht="13.5" thickTop="1" x14ac:dyDescent="0.2">
      <c r="C134" s="11" t="s">
        <v>26</v>
      </c>
      <c r="F134" s="13">
        <f>COUNTIF(F2:F130,"&gt;0")</f>
        <v>68</v>
      </c>
      <c r="G134" s="13">
        <f t="shared" ref="G134:AB134" si="0">COUNTIF(G2:G130,"&gt;0")</f>
        <v>23</v>
      </c>
      <c r="H134" s="13">
        <f t="shared" si="0"/>
        <v>66</v>
      </c>
      <c r="J134" s="13">
        <f t="shared" si="0"/>
        <v>37</v>
      </c>
      <c r="K134" s="13">
        <f t="shared" si="0"/>
        <v>32</v>
      </c>
      <c r="L134" s="13">
        <f t="shared" si="0"/>
        <v>12</v>
      </c>
      <c r="N134" s="13">
        <f t="shared" si="0"/>
        <v>36</v>
      </c>
      <c r="O134" s="13">
        <f t="shared" si="0"/>
        <v>35</v>
      </c>
      <c r="P134" s="13">
        <f t="shared" si="0"/>
        <v>4</v>
      </c>
      <c r="R134" s="13">
        <f t="shared" si="0"/>
        <v>18</v>
      </c>
      <c r="S134" s="13">
        <f t="shared" si="0"/>
        <v>17</v>
      </c>
      <c r="T134" s="13">
        <f t="shared" si="0"/>
        <v>2</v>
      </c>
      <c r="V134" s="13">
        <f t="shared" si="0"/>
        <v>8</v>
      </c>
      <c r="W134" s="13">
        <f t="shared" si="0"/>
        <v>5</v>
      </c>
      <c r="X134" s="13">
        <f t="shared" si="0"/>
        <v>3</v>
      </c>
      <c r="Z134" s="13">
        <f t="shared" si="0"/>
        <v>23</v>
      </c>
      <c r="AA134" s="13">
        <f t="shared" si="0"/>
        <v>20</v>
      </c>
      <c r="AB134" s="13">
        <f t="shared" si="0"/>
        <v>4</v>
      </c>
    </row>
    <row r="135" spans="1:28" x14ac:dyDescent="0.2">
      <c r="C135" s="8" t="s">
        <v>27</v>
      </c>
      <c r="F135" s="15">
        <f t="shared" ref="F135:AB135" si="1">SUM(F5:F133)</f>
        <v>174024.60000000003</v>
      </c>
      <c r="G135" s="15">
        <f t="shared" si="1"/>
        <v>30306.100000000002</v>
      </c>
      <c r="H135" s="15">
        <f t="shared" si="1"/>
        <v>143718.50000000003</v>
      </c>
      <c r="J135" s="15">
        <f t="shared" si="1"/>
        <v>8740.0399999999991</v>
      </c>
      <c r="K135" s="15">
        <f t="shared" si="1"/>
        <v>7834.48</v>
      </c>
      <c r="L135" s="15">
        <f t="shared" si="1"/>
        <v>905.56</v>
      </c>
      <c r="N135" s="15">
        <f t="shared" si="1"/>
        <v>9766.6</v>
      </c>
      <c r="O135" s="15">
        <f t="shared" si="1"/>
        <v>9400.65</v>
      </c>
      <c r="P135" s="15">
        <f t="shared" si="1"/>
        <v>365.95</v>
      </c>
      <c r="R135" s="15">
        <f t="shared" si="1"/>
        <v>706.77</v>
      </c>
      <c r="S135" s="15">
        <f t="shared" si="1"/>
        <v>595.27</v>
      </c>
      <c r="T135" s="15">
        <f t="shared" si="1"/>
        <v>111.5</v>
      </c>
      <c r="V135" s="15">
        <f t="shared" si="1"/>
        <v>1753.24</v>
      </c>
      <c r="W135" s="15">
        <f t="shared" si="1"/>
        <v>737.00000000000011</v>
      </c>
      <c r="X135" s="15">
        <f t="shared" si="1"/>
        <v>1016.24</v>
      </c>
      <c r="Z135" s="15">
        <f t="shared" si="1"/>
        <v>13399.7</v>
      </c>
      <c r="AA135" s="15">
        <f t="shared" si="1"/>
        <v>13381.689999999999</v>
      </c>
      <c r="AB135" s="15">
        <f t="shared" si="1"/>
        <v>18.009999999999998</v>
      </c>
    </row>
    <row r="136" spans="1:28" x14ac:dyDescent="0.2">
      <c r="C136" s="8" t="s">
        <v>28</v>
      </c>
      <c r="F136" s="10">
        <f t="shared" ref="F136:AB136" si="2">MIN(F5:F133)</f>
        <v>0</v>
      </c>
      <c r="G136" s="10">
        <f t="shared" si="2"/>
        <v>0</v>
      </c>
      <c r="H136" s="10">
        <f t="shared" si="2"/>
        <v>0</v>
      </c>
      <c r="J136" s="10">
        <f t="shared" si="2"/>
        <v>0</v>
      </c>
      <c r="K136" s="10">
        <f t="shared" si="2"/>
        <v>0</v>
      </c>
      <c r="L136" s="10">
        <f t="shared" si="2"/>
        <v>0</v>
      </c>
      <c r="N136" s="10">
        <f t="shared" si="2"/>
        <v>0</v>
      </c>
      <c r="O136" s="10">
        <f t="shared" si="2"/>
        <v>0</v>
      </c>
      <c r="P136" s="10">
        <f t="shared" si="2"/>
        <v>0</v>
      </c>
      <c r="R136" s="10">
        <f t="shared" si="2"/>
        <v>0</v>
      </c>
      <c r="S136" s="10">
        <f t="shared" si="2"/>
        <v>0</v>
      </c>
      <c r="T136" s="10">
        <f t="shared" si="2"/>
        <v>0</v>
      </c>
      <c r="V136" s="10">
        <f t="shared" si="2"/>
        <v>0</v>
      </c>
      <c r="W136" s="10">
        <f t="shared" si="2"/>
        <v>0</v>
      </c>
      <c r="X136" s="10">
        <f t="shared" si="2"/>
        <v>0</v>
      </c>
      <c r="Z136" s="10">
        <f t="shared" si="2"/>
        <v>0</v>
      </c>
      <c r="AA136" s="10">
        <f t="shared" si="2"/>
        <v>0</v>
      </c>
      <c r="AB136" s="10">
        <f t="shared" si="2"/>
        <v>0</v>
      </c>
    </row>
    <row r="137" spans="1:28" x14ac:dyDescent="0.2">
      <c r="C137" s="8" t="s">
        <v>29</v>
      </c>
      <c r="F137" s="10">
        <f t="shared" ref="F137:AB137" si="3">MAX(F5:F133)</f>
        <v>22456</v>
      </c>
      <c r="G137" s="10">
        <f t="shared" si="3"/>
        <v>6781</v>
      </c>
      <c r="H137" s="10">
        <f t="shared" si="3"/>
        <v>22456</v>
      </c>
      <c r="J137" s="10">
        <f t="shared" si="3"/>
        <v>2364</v>
      </c>
      <c r="K137" s="10">
        <f t="shared" si="3"/>
        <v>2364</v>
      </c>
      <c r="L137" s="10">
        <f t="shared" si="3"/>
        <v>306.77</v>
      </c>
      <c r="N137" s="10">
        <f t="shared" si="3"/>
        <v>1782</v>
      </c>
      <c r="O137" s="10">
        <f t="shared" si="3"/>
        <v>1782</v>
      </c>
      <c r="P137" s="10">
        <f t="shared" si="3"/>
        <v>224</v>
      </c>
      <c r="R137" s="10">
        <f t="shared" si="3"/>
        <v>168</v>
      </c>
      <c r="S137" s="10">
        <f t="shared" si="3"/>
        <v>168</v>
      </c>
      <c r="T137" s="10">
        <f t="shared" si="3"/>
        <v>64</v>
      </c>
      <c r="V137" s="10">
        <f t="shared" si="3"/>
        <v>882.72</v>
      </c>
      <c r="W137" s="10">
        <f t="shared" si="3"/>
        <v>355.7</v>
      </c>
      <c r="X137" s="10">
        <f t="shared" si="3"/>
        <v>882.72</v>
      </c>
      <c r="Z137" s="10">
        <f t="shared" si="3"/>
        <v>6632.6</v>
      </c>
      <c r="AA137" s="10">
        <f t="shared" si="3"/>
        <v>6632.6</v>
      </c>
      <c r="AB137" s="10">
        <f t="shared" si="3"/>
        <v>11</v>
      </c>
    </row>
    <row r="138" spans="1:28" x14ac:dyDescent="0.2">
      <c r="C138" s="8" t="s">
        <v>30</v>
      </c>
      <c r="F138" s="10">
        <f t="shared" ref="F138:AB138" si="4">AVERAGE(F5:F133)</f>
        <v>2451.0507042253525</v>
      </c>
      <c r="G138" s="10">
        <f t="shared" si="4"/>
        <v>236.76640625000002</v>
      </c>
      <c r="H138" s="10">
        <f t="shared" si="4"/>
        <v>1122.8007812500002</v>
      </c>
      <c r="J138" s="10">
        <f t="shared" si="4"/>
        <v>218.50099999999998</v>
      </c>
      <c r="K138" s="10">
        <f t="shared" si="4"/>
        <v>61.206874999999997</v>
      </c>
      <c r="L138" s="10">
        <f t="shared" si="4"/>
        <v>7.0746874999999996</v>
      </c>
      <c r="N138" s="10">
        <f t="shared" si="4"/>
        <v>250.42564102564103</v>
      </c>
      <c r="O138" s="10">
        <f t="shared" si="4"/>
        <v>73.442578124999997</v>
      </c>
      <c r="P138" s="10">
        <f t="shared" si="4"/>
        <v>2.8589843749999999</v>
      </c>
      <c r="R138" s="10">
        <f t="shared" si="4"/>
        <v>33.655714285714282</v>
      </c>
      <c r="S138" s="10">
        <f t="shared" si="4"/>
        <v>4.6505468749999999</v>
      </c>
      <c r="T138" s="10">
        <f t="shared" si="4"/>
        <v>0.87109375</v>
      </c>
      <c r="V138" s="10">
        <f t="shared" si="4"/>
        <v>134.86461538461538</v>
      </c>
      <c r="W138" s="10">
        <f t="shared" si="4"/>
        <v>5.7578125000000009</v>
      </c>
      <c r="X138" s="10">
        <f t="shared" si="4"/>
        <v>7.9393750000000001</v>
      </c>
      <c r="Z138" s="10">
        <f t="shared" si="4"/>
        <v>104.68515625000001</v>
      </c>
      <c r="AA138" s="10">
        <f t="shared" si="4"/>
        <v>104.54445312499999</v>
      </c>
      <c r="AB138" s="10">
        <f t="shared" si="4"/>
        <v>0.14070312499999998</v>
      </c>
    </row>
    <row r="139" spans="1:28" ht="13.5" thickBot="1" x14ac:dyDescent="0.25">
      <c r="C139" s="16" t="s">
        <v>31</v>
      </c>
      <c r="F139" s="18">
        <f t="shared" ref="F139:AB139" si="5">MEDIAN(F5:F133)</f>
        <v>758.3</v>
      </c>
      <c r="G139" s="18">
        <f t="shared" si="5"/>
        <v>0</v>
      </c>
      <c r="H139" s="18">
        <f t="shared" si="5"/>
        <v>18.5</v>
      </c>
      <c r="J139" s="18">
        <f t="shared" si="5"/>
        <v>64.28</v>
      </c>
      <c r="K139" s="18">
        <f t="shared" si="5"/>
        <v>0</v>
      </c>
      <c r="L139" s="18">
        <f t="shared" si="5"/>
        <v>0</v>
      </c>
      <c r="N139" s="18">
        <f t="shared" si="5"/>
        <v>99.24</v>
      </c>
      <c r="O139" s="18">
        <f t="shared" si="5"/>
        <v>0</v>
      </c>
      <c r="P139" s="18">
        <f t="shared" si="5"/>
        <v>0</v>
      </c>
      <c r="R139" s="18">
        <f t="shared" si="5"/>
        <v>12.6</v>
      </c>
      <c r="S139" s="18">
        <f t="shared" si="5"/>
        <v>0</v>
      </c>
      <c r="T139" s="18">
        <f t="shared" si="5"/>
        <v>0</v>
      </c>
      <c r="V139" s="18">
        <f t="shared" si="5"/>
        <v>25</v>
      </c>
      <c r="W139" s="18">
        <f t="shared" si="5"/>
        <v>0</v>
      </c>
      <c r="X139" s="18">
        <f t="shared" si="5"/>
        <v>0</v>
      </c>
      <c r="Z139" s="18">
        <f t="shared" si="5"/>
        <v>0</v>
      </c>
      <c r="AA139" s="18">
        <f t="shared" si="5"/>
        <v>0</v>
      </c>
      <c r="AB139" s="18">
        <f t="shared" si="5"/>
        <v>0</v>
      </c>
    </row>
    <row r="140" spans="1:28" ht="13.5" thickTop="1" x14ac:dyDescent="0.2">
      <c r="C140" s="64"/>
      <c r="F140" s="666"/>
      <c r="G140" s="666"/>
      <c r="H140" s="666"/>
      <c r="J140" s="666"/>
      <c r="K140" s="666"/>
      <c r="L140" s="666"/>
      <c r="N140" s="666"/>
      <c r="O140" s="666"/>
      <c r="P140" s="666"/>
      <c r="R140" s="666"/>
      <c r="S140" s="666"/>
      <c r="T140" s="666"/>
      <c r="V140" s="666"/>
      <c r="W140" s="666"/>
      <c r="X140" s="666"/>
      <c r="Z140" s="666"/>
      <c r="AA140" s="666"/>
      <c r="AB140" s="666"/>
    </row>
    <row r="141" spans="1:28" x14ac:dyDescent="0.2">
      <c r="F141" s="452"/>
    </row>
    <row r="142" spans="1:28" ht="15.75" x14ac:dyDescent="0.25">
      <c r="B142" s="74" t="s">
        <v>458</v>
      </c>
      <c r="C142" s="75"/>
      <c r="D142" s="75"/>
      <c r="F142">
        <v>6</v>
      </c>
      <c r="G142">
        <v>7</v>
      </c>
      <c r="H142">
        <v>8</v>
      </c>
      <c r="J142">
        <v>10</v>
      </c>
      <c r="K142">
        <v>11</v>
      </c>
      <c r="L142">
        <v>12</v>
      </c>
      <c r="N142">
        <v>14</v>
      </c>
      <c r="O142">
        <v>15</v>
      </c>
      <c r="P142">
        <v>16</v>
      </c>
      <c r="R142">
        <v>18</v>
      </c>
      <c r="S142">
        <v>19</v>
      </c>
      <c r="T142">
        <v>20</v>
      </c>
      <c r="V142">
        <v>22</v>
      </c>
      <c r="W142">
        <v>23</v>
      </c>
      <c r="X142">
        <v>24</v>
      </c>
      <c r="Z142">
        <v>26</v>
      </c>
      <c r="AA142">
        <v>27</v>
      </c>
      <c r="AB142">
        <v>28</v>
      </c>
    </row>
    <row r="143" spans="1:28" x14ac:dyDescent="0.2">
      <c r="A143" s="9">
        <v>10500</v>
      </c>
      <c r="B143" s="77" t="str">
        <f t="shared" ref="B143:B184" si="6">VLOOKUP($A143,$A$8:$I$135,2,FALSE)</f>
        <v>Bayside</v>
      </c>
      <c r="C143" s="9" t="str">
        <f t="shared" ref="C143:C184" si="7">VLOOKUP($A143,$A$8:$I$136,3,FALSE)</f>
        <v>SSROC</v>
      </c>
      <c r="D143" s="45" t="str">
        <f t="shared" ref="D143:D184" si="8">VLOOKUP($A143,$A$8:$I$136,4,FALSE)</f>
        <v>S</v>
      </c>
      <c r="F143" s="10">
        <f t="shared" ref="F143:H171" si="9">VLOOKUP($A143,$A$3:$AX$130,F$142,FALSE)</f>
        <v>8745</v>
      </c>
      <c r="G143" s="10">
        <f t="shared" si="9"/>
        <v>6781</v>
      </c>
      <c r="H143" s="10">
        <f t="shared" si="9"/>
        <v>1964</v>
      </c>
      <c r="I143" s="660"/>
      <c r="J143" s="10">
        <f t="shared" ref="J143:L171" si="10">VLOOKUP($A143,$A$3:$AX$130,J$142,FALSE)</f>
        <v>259.02</v>
      </c>
      <c r="K143" s="10">
        <f t="shared" si="10"/>
        <v>115.86999999999998</v>
      </c>
      <c r="L143" s="10">
        <f t="shared" si="10"/>
        <v>143.15</v>
      </c>
      <c r="M143" s="660"/>
      <c r="N143" s="10">
        <f t="shared" ref="N143:P171" si="11">VLOOKUP($A143,$A$3:$AX$130,N$142,FALSE)</f>
        <v>0</v>
      </c>
      <c r="O143" s="10">
        <f t="shared" si="11"/>
        <v>0</v>
      </c>
      <c r="P143" s="10">
        <f t="shared" si="11"/>
        <v>0</v>
      </c>
      <c r="Q143" s="660"/>
      <c r="R143" s="10">
        <f t="shared" ref="R143:T171" si="12">VLOOKUP($A143,$A$3:$AX$130,R$142,FALSE)</f>
        <v>0</v>
      </c>
      <c r="S143" s="10">
        <f t="shared" si="12"/>
        <v>0</v>
      </c>
      <c r="T143" s="10">
        <f t="shared" si="12"/>
        <v>0</v>
      </c>
      <c r="U143" s="660"/>
      <c r="V143" s="10">
        <f t="shared" ref="V143:X171" si="13">VLOOKUP($A143,$A$3:$AX$130,V$142,FALSE)</f>
        <v>0</v>
      </c>
      <c r="W143" s="10">
        <f t="shared" si="13"/>
        <v>0</v>
      </c>
      <c r="X143" s="10">
        <f t="shared" si="13"/>
        <v>0</v>
      </c>
      <c r="Y143" s="660"/>
      <c r="Z143" s="10">
        <f t="shared" ref="Z143:AB171" si="14">VLOOKUP($A143,$A$3:$AX$130,Z$142,FALSE)</f>
        <v>0</v>
      </c>
      <c r="AA143" s="10">
        <f t="shared" si="14"/>
        <v>0</v>
      </c>
      <c r="AB143" s="10">
        <f t="shared" si="14"/>
        <v>0</v>
      </c>
    </row>
    <row r="144" spans="1:28" x14ac:dyDescent="0.2">
      <c r="A144" s="8">
        <v>10750</v>
      </c>
      <c r="B144" s="77" t="str">
        <f t="shared" si="6"/>
        <v>Blacktown</v>
      </c>
      <c r="C144" s="9" t="str">
        <f t="shared" si="7"/>
        <v>WSROC</v>
      </c>
      <c r="D144" s="45" t="str">
        <f t="shared" si="8"/>
        <v>S</v>
      </c>
      <c r="F144" s="10">
        <f t="shared" si="9"/>
        <v>0</v>
      </c>
      <c r="G144" s="10">
        <f t="shared" si="9"/>
        <v>0</v>
      </c>
      <c r="H144" s="10">
        <f t="shared" si="9"/>
        <v>0</v>
      </c>
      <c r="I144" s="660"/>
      <c r="J144" s="10">
        <f t="shared" si="10"/>
        <v>946</v>
      </c>
      <c r="K144" s="10">
        <f t="shared" si="10"/>
        <v>946</v>
      </c>
      <c r="L144" s="10">
        <f t="shared" si="10"/>
        <v>0</v>
      </c>
      <c r="M144" s="660"/>
      <c r="N144" s="10">
        <f t="shared" si="11"/>
        <v>0</v>
      </c>
      <c r="O144" s="10">
        <f t="shared" si="11"/>
        <v>0</v>
      </c>
      <c r="P144" s="10">
        <f t="shared" si="11"/>
        <v>0</v>
      </c>
      <c r="Q144" s="660"/>
      <c r="R144" s="10">
        <f t="shared" si="12"/>
        <v>0</v>
      </c>
      <c r="S144" s="10">
        <f t="shared" si="12"/>
        <v>0</v>
      </c>
      <c r="T144" s="10">
        <f t="shared" si="12"/>
        <v>0</v>
      </c>
      <c r="U144" s="660"/>
      <c r="V144" s="10">
        <f t="shared" si="13"/>
        <v>0</v>
      </c>
      <c r="W144" s="10">
        <f t="shared" si="13"/>
        <v>0</v>
      </c>
      <c r="X144" s="10">
        <f t="shared" si="13"/>
        <v>0</v>
      </c>
      <c r="Y144" s="660"/>
      <c r="Z144" s="10">
        <f t="shared" si="14"/>
        <v>0</v>
      </c>
      <c r="AA144" s="10">
        <f t="shared" si="14"/>
        <v>0</v>
      </c>
      <c r="AB144" s="10">
        <f t="shared" si="14"/>
        <v>0</v>
      </c>
    </row>
    <row r="145" spans="1:28" x14ac:dyDescent="0.2">
      <c r="A145" s="8">
        <v>11300</v>
      </c>
      <c r="B145" s="77" t="str">
        <f t="shared" si="6"/>
        <v>Burwood</v>
      </c>
      <c r="C145" s="9" t="str">
        <f t="shared" si="7"/>
        <v>SSROC</v>
      </c>
      <c r="D145" s="45" t="str">
        <f t="shared" si="8"/>
        <v>S</v>
      </c>
      <c r="F145" s="10">
        <f t="shared" si="9"/>
        <v>873.67</v>
      </c>
      <c r="G145" s="10">
        <f t="shared" si="9"/>
        <v>672.72</v>
      </c>
      <c r="H145" s="10">
        <f t="shared" si="9"/>
        <v>200.95</v>
      </c>
      <c r="I145" s="660"/>
      <c r="J145" s="10">
        <f t="shared" si="10"/>
        <v>102.72</v>
      </c>
      <c r="K145" s="10">
        <f t="shared" si="10"/>
        <v>92.72</v>
      </c>
      <c r="L145" s="10">
        <f t="shared" si="10"/>
        <v>10</v>
      </c>
      <c r="M145" s="660"/>
      <c r="N145" s="10">
        <f t="shared" si="11"/>
        <v>0</v>
      </c>
      <c r="O145" s="10">
        <f t="shared" si="11"/>
        <v>0</v>
      </c>
      <c r="P145" s="10">
        <f t="shared" si="11"/>
        <v>0</v>
      </c>
      <c r="Q145" s="660"/>
      <c r="R145" s="10">
        <f t="shared" si="12"/>
        <v>0</v>
      </c>
      <c r="S145" s="10">
        <f t="shared" si="12"/>
        <v>0</v>
      </c>
      <c r="T145" s="10">
        <f t="shared" si="12"/>
        <v>0</v>
      </c>
      <c r="U145" s="660"/>
      <c r="V145" s="10">
        <f t="shared" si="13"/>
        <v>0</v>
      </c>
      <c r="W145" s="10">
        <f t="shared" si="13"/>
        <v>0</v>
      </c>
      <c r="X145" s="10">
        <f t="shared" si="13"/>
        <v>0</v>
      </c>
      <c r="Y145" s="660"/>
      <c r="Z145" s="10">
        <f t="shared" si="14"/>
        <v>0</v>
      </c>
      <c r="AA145" s="10">
        <f t="shared" si="14"/>
        <v>0</v>
      </c>
      <c r="AB145" s="10">
        <f t="shared" si="14"/>
        <v>0</v>
      </c>
    </row>
    <row r="146" spans="1:28" x14ac:dyDescent="0.2">
      <c r="A146" s="8">
        <v>11450</v>
      </c>
      <c r="B146" s="77" t="str">
        <f t="shared" si="6"/>
        <v>Camden</v>
      </c>
      <c r="C146" s="9" t="str">
        <f t="shared" si="7"/>
        <v>MSWA</v>
      </c>
      <c r="D146" s="45" t="str">
        <f t="shared" si="8"/>
        <v>S</v>
      </c>
      <c r="F146" s="10">
        <f t="shared" si="9"/>
        <v>7.72</v>
      </c>
      <c r="G146" s="10">
        <f t="shared" si="9"/>
        <v>0</v>
      </c>
      <c r="H146" s="10">
        <f t="shared" si="9"/>
        <v>7.72</v>
      </c>
      <c r="I146" s="660"/>
      <c r="J146" s="10">
        <f t="shared" si="10"/>
        <v>0</v>
      </c>
      <c r="K146" s="10">
        <f t="shared" si="10"/>
        <v>0</v>
      </c>
      <c r="L146" s="10">
        <f t="shared" si="10"/>
        <v>0</v>
      </c>
      <c r="M146" s="660"/>
      <c r="N146" s="10">
        <f t="shared" si="11"/>
        <v>0</v>
      </c>
      <c r="O146" s="10">
        <f t="shared" si="11"/>
        <v>0</v>
      </c>
      <c r="P146" s="10">
        <f t="shared" si="11"/>
        <v>0</v>
      </c>
      <c r="Q146" s="660"/>
      <c r="R146" s="10">
        <f t="shared" si="12"/>
        <v>0</v>
      </c>
      <c r="S146" s="10">
        <f t="shared" si="12"/>
        <v>0</v>
      </c>
      <c r="T146" s="10">
        <f t="shared" si="12"/>
        <v>0</v>
      </c>
      <c r="U146" s="660"/>
      <c r="V146" s="10">
        <f t="shared" si="13"/>
        <v>0</v>
      </c>
      <c r="W146" s="10">
        <f t="shared" si="13"/>
        <v>0</v>
      </c>
      <c r="X146" s="10">
        <f t="shared" si="13"/>
        <v>0</v>
      </c>
      <c r="Y146" s="660"/>
      <c r="Z146" s="10">
        <f t="shared" si="14"/>
        <v>0</v>
      </c>
      <c r="AA146" s="10">
        <f t="shared" si="14"/>
        <v>0</v>
      </c>
      <c r="AB146" s="10">
        <f t="shared" si="14"/>
        <v>0</v>
      </c>
    </row>
    <row r="147" spans="1:28" x14ac:dyDescent="0.2">
      <c r="A147" s="8">
        <v>11500</v>
      </c>
      <c r="B147" s="77" t="str">
        <f t="shared" si="6"/>
        <v>Campbelltown</v>
      </c>
      <c r="C147" s="9" t="str">
        <f t="shared" si="7"/>
        <v>MSWA</v>
      </c>
      <c r="D147" s="45" t="str">
        <f t="shared" si="8"/>
        <v>S</v>
      </c>
      <c r="F147" s="10">
        <f t="shared" si="9"/>
        <v>9131.42</v>
      </c>
      <c r="G147" s="10">
        <f t="shared" si="9"/>
        <v>0</v>
      </c>
      <c r="H147" s="10">
        <f t="shared" si="9"/>
        <v>9131.42</v>
      </c>
      <c r="I147" s="660"/>
      <c r="J147" s="10">
        <f t="shared" si="10"/>
        <v>0</v>
      </c>
      <c r="K147" s="10">
        <f t="shared" si="10"/>
        <v>0</v>
      </c>
      <c r="L147" s="10">
        <f t="shared" si="10"/>
        <v>0</v>
      </c>
      <c r="M147" s="660"/>
      <c r="N147" s="10">
        <f t="shared" si="11"/>
        <v>0</v>
      </c>
      <c r="O147" s="10">
        <f t="shared" si="11"/>
        <v>0</v>
      </c>
      <c r="P147" s="10">
        <f t="shared" si="11"/>
        <v>0</v>
      </c>
      <c r="Q147" s="660"/>
      <c r="R147" s="10">
        <f t="shared" si="12"/>
        <v>0</v>
      </c>
      <c r="S147" s="10">
        <f t="shared" si="12"/>
        <v>0</v>
      </c>
      <c r="T147" s="10">
        <f t="shared" si="12"/>
        <v>0</v>
      </c>
      <c r="U147" s="660"/>
      <c r="V147" s="10">
        <f t="shared" si="13"/>
        <v>0</v>
      </c>
      <c r="W147" s="10">
        <f t="shared" si="13"/>
        <v>0</v>
      </c>
      <c r="X147" s="10">
        <f t="shared" si="13"/>
        <v>0</v>
      </c>
      <c r="Y147" s="660"/>
      <c r="Z147" s="10">
        <f t="shared" si="14"/>
        <v>0</v>
      </c>
      <c r="AA147" s="10">
        <f t="shared" si="14"/>
        <v>0</v>
      </c>
      <c r="AB147" s="10">
        <f t="shared" si="14"/>
        <v>0</v>
      </c>
    </row>
    <row r="148" spans="1:28" x14ac:dyDescent="0.2">
      <c r="A148" s="8">
        <v>11520</v>
      </c>
      <c r="B148" s="77" t="str">
        <f t="shared" si="6"/>
        <v>Canada Bay</v>
      </c>
      <c r="C148" s="9" t="str">
        <f t="shared" si="7"/>
        <v>SSROC</v>
      </c>
      <c r="D148" s="45" t="str">
        <f t="shared" si="8"/>
        <v>S</v>
      </c>
      <c r="F148" s="10">
        <f t="shared" si="9"/>
        <v>2062</v>
      </c>
      <c r="G148" s="10">
        <f t="shared" si="9"/>
        <v>847</v>
      </c>
      <c r="H148" s="10">
        <f t="shared" si="9"/>
        <v>1215</v>
      </c>
      <c r="I148" s="660"/>
      <c r="J148" s="10">
        <f t="shared" si="10"/>
        <v>61</v>
      </c>
      <c r="K148" s="10">
        <f t="shared" si="10"/>
        <v>61</v>
      </c>
      <c r="L148" s="10">
        <f t="shared" si="10"/>
        <v>0</v>
      </c>
      <c r="M148" s="660"/>
      <c r="N148" s="10">
        <f t="shared" si="11"/>
        <v>129</v>
      </c>
      <c r="O148" s="10">
        <f t="shared" si="11"/>
        <v>129</v>
      </c>
      <c r="P148" s="10">
        <f t="shared" si="11"/>
        <v>0</v>
      </c>
      <c r="Q148" s="660"/>
      <c r="R148" s="10">
        <f t="shared" si="12"/>
        <v>49</v>
      </c>
      <c r="S148" s="10">
        <f t="shared" si="12"/>
        <v>49</v>
      </c>
      <c r="T148" s="10">
        <f t="shared" si="12"/>
        <v>0</v>
      </c>
      <c r="U148" s="660"/>
      <c r="V148" s="10">
        <f t="shared" si="13"/>
        <v>50</v>
      </c>
      <c r="W148" s="10">
        <f t="shared" si="13"/>
        <v>0</v>
      </c>
      <c r="X148" s="10">
        <f t="shared" si="13"/>
        <v>50</v>
      </c>
      <c r="Y148" s="660"/>
      <c r="Z148" s="10">
        <f t="shared" si="14"/>
        <v>180</v>
      </c>
      <c r="AA148" s="10">
        <f t="shared" si="14"/>
        <v>180</v>
      </c>
      <c r="AB148" s="10">
        <f t="shared" si="14"/>
        <v>0</v>
      </c>
    </row>
    <row r="149" spans="1:28" x14ac:dyDescent="0.2">
      <c r="A149" s="8">
        <v>11570</v>
      </c>
      <c r="B149" s="77" t="str">
        <f t="shared" si="6"/>
        <v>Canterbury-Bankstown</v>
      </c>
      <c r="C149" s="9" t="str">
        <f t="shared" si="7"/>
        <v>SSROC</v>
      </c>
      <c r="D149" s="45" t="str">
        <f t="shared" si="8"/>
        <v>S</v>
      </c>
      <c r="F149" s="10">
        <f t="shared" si="9"/>
        <v>12903</v>
      </c>
      <c r="G149" s="10">
        <f t="shared" si="9"/>
        <v>3870.8999999999996</v>
      </c>
      <c r="H149" s="10">
        <f t="shared" si="9"/>
        <v>9032.1</v>
      </c>
      <c r="I149" s="660"/>
      <c r="J149" s="10">
        <f t="shared" si="10"/>
        <v>533</v>
      </c>
      <c r="K149" s="10">
        <f t="shared" si="10"/>
        <v>533</v>
      </c>
      <c r="L149" s="10">
        <f t="shared" si="10"/>
        <v>0</v>
      </c>
      <c r="M149" s="660"/>
      <c r="N149" s="10">
        <f t="shared" si="11"/>
        <v>0</v>
      </c>
      <c r="O149" s="10">
        <f t="shared" si="11"/>
        <v>0</v>
      </c>
      <c r="P149" s="10">
        <f t="shared" si="11"/>
        <v>0</v>
      </c>
      <c r="Q149" s="660"/>
      <c r="R149" s="10">
        <f t="shared" si="12"/>
        <v>0</v>
      </c>
      <c r="S149" s="10">
        <f t="shared" si="12"/>
        <v>0</v>
      </c>
      <c r="T149" s="10">
        <f t="shared" si="12"/>
        <v>0</v>
      </c>
      <c r="U149" s="660"/>
      <c r="V149" s="10">
        <f t="shared" si="13"/>
        <v>0</v>
      </c>
      <c r="W149" s="10">
        <f t="shared" si="13"/>
        <v>0</v>
      </c>
      <c r="X149" s="10">
        <f t="shared" si="13"/>
        <v>0</v>
      </c>
      <c r="Y149" s="660"/>
      <c r="Z149" s="10">
        <f t="shared" si="14"/>
        <v>0</v>
      </c>
      <c r="AA149" s="10">
        <f t="shared" si="14"/>
        <v>0</v>
      </c>
      <c r="AB149" s="10">
        <f t="shared" si="14"/>
        <v>0</v>
      </c>
    </row>
    <row r="150" spans="1:28" x14ac:dyDescent="0.2">
      <c r="A150" s="8">
        <v>12380</v>
      </c>
      <c r="B150" s="77" t="str">
        <f t="shared" si="6"/>
        <v>Cumberland</v>
      </c>
      <c r="C150" s="9" t="str">
        <f t="shared" si="7"/>
        <v>WSROC</v>
      </c>
      <c r="D150" s="45" t="str">
        <f t="shared" si="8"/>
        <v>S</v>
      </c>
      <c r="F150" s="10">
        <f t="shared" si="9"/>
        <v>0</v>
      </c>
      <c r="G150" s="10">
        <f t="shared" si="9"/>
        <v>0</v>
      </c>
      <c r="H150" s="10">
        <f t="shared" si="9"/>
        <v>0</v>
      </c>
      <c r="I150" s="660"/>
      <c r="J150" s="10">
        <f t="shared" si="10"/>
        <v>0</v>
      </c>
      <c r="K150" s="10">
        <f t="shared" si="10"/>
        <v>0</v>
      </c>
      <c r="L150" s="10">
        <f t="shared" si="10"/>
        <v>0</v>
      </c>
      <c r="M150" s="660"/>
      <c r="N150" s="10">
        <f t="shared" si="11"/>
        <v>0</v>
      </c>
      <c r="O150" s="10">
        <f t="shared" si="11"/>
        <v>0</v>
      </c>
      <c r="P150" s="10">
        <f t="shared" si="11"/>
        <v>0</v>
      </c>
      <c r="Q150" s="660"/>
      <c r="R150" s="10">
        <f t="shared" si="12"/>
        <v>0</v>
      </c>
      <c r="S150" s="10">
        <f t="shared" si="12"/>
        <v>0</v>
      </c>
      <c r="T150" s="10">
        <f t="shared" si="12"/>
        <v>0</v>
      </c>
      <c r="U150" s="660"/>
      <c r="V150" s="10">
        <f t="shared" si="13"/>
        <v>0</v>
      </c>
      <c r="W150" s="10">
        <f t="shared" si="13"/>
        <v>0</v>
      </c>
      <c r="X150" s="10">
        <f t="shared" si="13"/>
        <v>0</v>
      </c>
      <c r="Y150" s="660"/>
      <c r="Z150" s="10">
        <f t="shared" si="14"/>
        <v>0</v>
      </c>
      <c r="AA150" s="10">
        <f t="shared" si="14"/>
        <v>0</v>
      </c>
      <c r="AB150" s="10">
        <f t="shared" si="14"/>
        <v>0</v>
      </c>
    </row>
    <row r="151" spans="1:28" x14ac:dyDescent="0.2">
      <c r="A151" s="8">
        <v>12850</v>
      </c>
      <c r="B151" s="77" t="str">
        <f t="shared" si="6"/>
        <v>Fairfield</v>
      </c>
      <c r="C151" s="9" t="str">
        <f t="shared" si="7"/>
        <v>WSROC</v>
      </c>
      <c r="D151" s="45" t="str">
        <f t="shared" si="8"/>
        <v>S</v>
      </c>
      <c r="F151" s="10">
        <f t="shared" si="9"/>
        <v>6896.74</v>
      </c>
      <c r="G151" s="10">
        <f t="shared" si="9"/>
        <v>0</v>
      </c>
      <c r="H151" s="10">
        <f t="shared" si="9"/>
        <v>6896.74</v>
      </c>
      <c r="I151" s="660"/>
      <c r="J151" s="10">
        <f t="shared" si="10"/>
        <v>0</v>
      </c>
      <c r="K151" s="10">
        <f t="shared" si="10"/>
        <v>0</v>
      </c>
      <c r="L151" s="10">
        <f t="shared" si="10"/>
        <v>0</v>
      </c>
      <c r="M151" s="660"/>
      <c r="N151" s="10">
        <f t="shared" si="11"/>
        <v>0</v>
      </c>
      <c r="O151" s="10">
        <f t="shared" si="11"/>
        <v>0</v>
      </c>
      <c r="P151" s="10">
        <f t="shared" si="11"/>
        <v>0</v>
      </c>
      <c r="Q151" s="660"/>
      <c r="R151" s="10">
        <f t="shared" si="12"/>
        <v>0</v>
      </c>
      <c r="S151" s="10">
        <f t="shared" si="12"/>
        <v>0</v>
      </c>
      <c r="T151" s="10">
        <f t="shared" si="12"/>
        <v>0</v>
      </c>
      <c r="U151" s="660"/>
      <c r="V151" s="10">
        <f t="shared" si="13"/>
        <v>0</v>
      </c>
      <c r="W151" s="10">
        <f t="shared" si="13"/>
        <v>0</v>
      </c>
      <c r="X151" s="10">
        <f t="shared" si="13"/>
        <v>0</v>
      </c>
      <c r="Y151" s="660"/>
      <c r="Z151" s="10">
        <f t="shared" si="14"/>
        <v>0</v>
      </c>
      <c r="AA151" s="10">
        <f t="shared" si="14"/>
        <v>0</v>
      </c>
      <c r="AB151" s="10">
        <f t="shared" si="14"/>
        <v>0</v>
      </c>
    </row>
    <row r="152" spans="1:28" x14ac:dyDescent="0.2">
      <c r="A152" s="8">
        <v>12930</v>
      </c>
      <c r="B152" s="77" t="str">
        <f t="shared" si="6"/>
        <v>Georges River</v>
      </c>
      <c r="C152" s="9" t="str">
        <f t="shared" si="7"/>
        <v>SSROC</v>
      </c>
      <c r="D152" s="45" t="str">
        <f t="shared" si="8"/>
        <v>S</v>
      </c>
      <c r="F152" s="10">
        <f t="shared" si="9"/>
        <v>5031</v>
      </c>
      <c r="G152" s="10">
        <f t="shared" si="9"/>
        <v>3656</v>
      </c>
      <c r="H152" s="10">
        <f t="shared" si="9"/>
        <v>1375</v>
      </c>
      <c r="I152" s="660"/>
      <c r="J152" s="10">
        <f t="shared" si="10"/>
        <v>261.89999999999998</v>
      </c>
      <c r="K152" s="10">
        <f t="shared" si="10"/>
        <v>196.89999999999998</v>
      </c>
      <c r="L152" s="10">
        <f t="shared" si="10"/>
        <v>65</v>
      </c>
      <c r="M152" s="660"/>
      <c r="N152" s="10">
        <f t="shared" si="11"/>
        <v>0</v>
      </c>
      <c r="O152" s="10">
        <f t="shared" si="11"/>
        <v>0</v>
      </c>
      <c r="P152" s="10">
        <f t="shared" si="11"/>
        <v>0</v>
      </c>
      <c r="Q152" s="660"/>
      <c r="R152" s="10">
        <f t="shared" si="12"/>
        <v>0</v>
      </c>
      <c r="S152" s="10">
        <f t="shared" si="12"/>
        <v>0</v>
      </c>
      <c r="T152" s="10">
        <f t="shared" si="12"/>
        <v>0</v>
      </c>
      <c r="U152" s="660"/>
      <c r="V152" s="10">
        <f t="shared" si="13"/>
        <v>0</v>
      </c>
      <c r="W152" s="10">
        <f t="shared" si="13"/>
        <v>0</v>
      </c>
      <c r="X152" s="10">
        <f t="shared" si="13"/>
        <v>0</v>
      </c>
      <c r="Y152" s="660"/>
      <c r="Z152" s="10">
        <f t="shared" si="14"/>
        <v>0</v>
      </c>
      <c r="AA152" s="10">
        <f t="shared" si="14"/>
        <v>0</v>
      </c>
      <c r="AB152" s="10">
        <f t="shared" si="14"/>
        <v>0</v>
      </c>
    </row>
    <row r="153" spans="1:28" x14ac:dyDescent="0.2">
      <c r="A153" s="8">
        <v>14000</v>
      </c>
      <c r="B153" s="77" t="str">
        <f t="shared" si="6"/>
        <v>Hornsby</v>
      </c>
      <c r="C153" s="9" t="str">
        <f t="shared" si="7"/>
        <v>NSROC</v>
      </c>
      <c r="D153" s="45" t="str">
        <f t="shared" si="8"/>
        <v>S</v>
      </c>
      <c r="F153" s="10">
        <f t="shared" si="9"/>
        <v>0</v>
      </c>
      <c r="G153" s="10">
        <f t="shared" si="9"/>
        <v>0</v>
      </c>
      <c r="H153" s="10">
        <f t="shared" si="9"/>
        <v>0</v>
      </c>
      <c r="I153" s="660"/>
      <c r="J153" s="10">
        <f t="shared" si="10"/>
        <v>0</v>
      </c>
      <c r="K153" s="10">
        <f t="shared" si="10"/>
        <v>0</v>
      </c>
      <c r="L153" s="10">
        <f t="shared" si="10"/>
        <v>0</v>
      </c>
      <c r="M153" s="660"/>
      <c r="N153" s="10">
        <f t="shared" si="11"/>
        <v>0</v>
      </c>
      <c r="O153" s="10">
        <f t="shared" si="11"/>
        <v>0</v>
      </c>
      <c r="P153" s="10">
        <f t="shared" si="11"/>
        <v>0</v>
      </c>
      <c r="Q153" s="660"/>
      <c r="R153" s="10">
        <f t="shared" si="12"/>
        <v>0</v>
      </c>
      <c r="S153" s="10">
        <f t="shared" si="12"/>
        <v>0</v>
      </c>
      <c r="T153" s="10">
        <f t="shared" si="12"/>
        <v>0</v>
      </c>
      <c r="U153" s="660"/>
      <c r="V153" s="10">
        <f t="shared" si="13"/>
        <v>0</v>
      </c>
      <c r="W153" s="10">
        <f t="shared" si="13"/>
        <v>0</v>
      </c>
      <c r="X153" s="10">
        <f t="shared" si="13"/>
        <v>0</v>
      </c>
      <c r="Y153" s="660"/>
      <c r="Z153" s="10">
        <f t="shared" si="14"/>
        <v>0</v>
      </c>
      <c r="AA153" s="10">
        <f t="shared" si="14"/>
        <v>0</v>
      </c>
      <c r="AB153" s="10">
        <f t="shared" si="14"/>
        <v>0</v>
      </c>
    </row>
    <row r="154" spans="1:28" x14ac:dyDescent="0.2">
      <c r="A154" s="8">
        <v>14100</v>
      </c>
      <c r="B154" s="77" t="str">
        <f t="shared" si="6"/>
        <v>Hunters Hill</v>
      </c>
      <c r="C154" s="9" t="str">
        <f t="shared" si="7"/>
        <v>NSROC</v>
      </c>
      <c r="D154" s="45" t="str">
        <f t="shared" si="8"/>
        <v>S</v>
      </c>
      <c r="F154" s="10">
        <f t="shared" si="9"/>
        <v>261.5</v>
      </c>
      <c r="G154" s="10">
        <f t="shared" si="9"/>
        <v>122.25</v>
      </c>
      <c r="H154" s="10">
        <f t="shared" si="9"/>
        <v>139.25</v>
      </c>
      <c r="I154" s="660"/>
      <c r="J154" s="10">
        <f t="shared" si="10"/>
        <v>0</v>
      </c>
      <c r="K154" s="10">
        <f t="shared" si="10"/>
        <v>0</v>
      </c>
      <c r="L154" s="10">
        <f t="shared" si="10"/>
        <v>0</v>
      </c>
      <c r="M154" s="660"/>
      <c r="N154" s="10">
        <f t="shared" si="11"/>
        <v>0</v>
      </c>
      <c r="O154" s="10">
        <f t="shared" si="11"/>
        <v>0</v>
      </c>
      <c r="P154" s="10">
        <f t="shared" si="11"/>
        <v>0</v>
      </c>
      <c r="Q154" s="660"/>
      <c r="R154" s="10">
        <f t="shared" si="12"/>
        <v>0</v>
      </c>
      <c r="S154" s="10">
        <f t="shared" si="12"/>
        <v>0</v>
      </c>
      <c r="T154" s="10">
        <f t="shared" si="12"/>
        <v>0</v>
      </c>
      <c r="U154" s="660"/>
      <c r="V154" s="10">
        <f t="shared" si="13"/>
        <v>0</v>
      </c>
      <c r="W154" s="10">
        <f t="shared" si="13"/>
        <v>0</v>
      </c>
      <c r="X154" s="10">
        <f t="shared" si="13"/>
        <v>0</v>
      </c>
      <c r="Y154" s="660"/>
      <c r="Z154" s="10">
        <f t="shared" si="14"/>
        <v>0</v>
      </c>
      <c r="AA154" s="10">
        <f t="shared" si="14"/>
        <v>0</v>
      </c>
      <c r="AB154" s="10">
        <f t="shared" si="14"/>
        <v>0</v>
      </c>
    </row>
    <row r="155" spans="1:28" x14ac:dyDescent="0.2">
      <c r="A155" s="8">
        <v>14170</v>
      </c>
      <c r="B155" s="77" t="str">
        <f t="shared" si="6"/>
        <v>Inner West</v>
      </c>
      <c r="C155" s="9" t="str">
        <f t="shared" si="7"/>
        <v>SSROC</v>
      </c>
      <c r="D155" s="45" t="str">
        <f t="shared" si="8"/>
        <v>S</v>
      </c>
      <c r="F155" s="10">
        <f t="shared" si="9"/>
        <v>0</v>
      </c>
      <c r="G155" s="10">
        <f t="shared" si="9"/>
        <v>0</v>
      </c>
      <c r="H155" s="10">
        <f t="shared" si="9"/>
        <v>0</v>
      </c>
      <c r="I155" s="660"/>
      <c r="J155" s="10">
        <f t="shared" si="10"/>
        <v>0</v>
      </c>
      <c r="K155" s="10">
        <f t="shared" si="10"/>
        <v>0</v>
      </c>
      <c r="L155" s="10">
        <f t="shared" si="10"/>
        <v>0</v>
      </c>
      <c r="M155" s="660"/>
      <c r="N155" s="10">
        <f t="shared" si="11"/>
        <v>0</v>
      </c>
      <c r="O155" s="10">
        <f t="shared" si="11"/>
        <v>0</v>
      </c>
      <c r="P155" s="10">
        <f t="shared" si="11"/>
        <v>0</v>
      </c>
      <c r="Q155" s="660"/>
      <c r="R155" s="10">
        <f t="shared" si="12"/>
        <v>0</v>
      </c>
      <c r="S155" s="10">
        <f t="shared" si="12"/>
        <v>0</v>
      </c>
      <c r="T155" s="10">
        <f t="shared" si="12"/>
        <v>0</v>
      </c>
      <c r="U155" s="660"/>
      <c r="V155" s="10">
        <f t="shared" si="13"/>
        <v>0</v>
      </c>
      <c r="W155" s="10">
        <f t="shared" si="13"/>
        <v>0</v>
      </c>
      <c r="X155" s="10">
        <f t="shared" si="13"/>
        <v>0</v>
      </c>
      <c r="Y155" s="660"/>
      <c r="Z155" s="10">
        <f t="shared" si="14"/>
        <v>0</v>
      </c>
      <c r="AA155" s="10">
        <f t="shared" si="14"/>
        <v>0</v>
      </c>
      <c r="AB155" s="10">
        <f t="shared" si="14"/>
        <v>0</v>
      </c>
    </row>
    <row r="156" spans="1:28" x14ac:dyDescent="0.2">
      <c r="A156" s="8">
        <v>14500</v>
      </c>
      <c r="B156" s="77" t="str">
        <f t="shared" si="6"/>
        <v>Ku-ring-gai</v>
      </c>
      <c r="C156" s="9" t="str">
        <f t="shared" si="7"/>
        <v>NSROC</v>
      </c>
      <c r="D156" s="45" t="str">
        <f t="shared" si="8"/>
        <v>S</v>
      </c>
      <c r="F156" s="10">
        <f t="shared" si="9"/>
        <v>3352.28</v>
      </c>
      <c r="G156" s="10">
        <f t="shared" si="9"/>
        <v>1691.9</v>
      </c>
      <c r="H156" s="10">
        <f t="shared" si="9"/>
        <v>1660.38</v>
      </c>
      <c r="I156" s="660"/>
      <c r="J156" s="10">
        <f t="shared" si="10"/>
        <v>399.28</v>
      </c>
      <c r="K156" s="10">
        <f t="shared" si="10"/>
        <v>399.28</v>
      </c>
      <c r="L156" s="10">
        <f t="shared" si="10"/>
        <v>0</v>
      </c>
      <c r="M156" s="660"/>
      <c r="N156" s="10">
        <f t="shared" si="11"/>
        <v>0</v>
      </c>
      <c r="O156" s="10">
        <f t="shared" si="11"/>
        <v>0</v>
      </c>
      <c r="P156" s="10">
        <f t="shared" si="11"/>
        <v>0</v>
      </c>
      <c r="Q156" s="660"/>
      <c r="R156" s="10">
        <f t="shared" si="12"/>
        <v>39.74</v>
      </c>
      <c r="S156" s="10">
        <f t="shared" si="12"/>
        <v>39.74</v>
      </c>
      <c r="T156" s="10">
        <f t="shared" si="12"/>
        <v>0</v>
      </c>
      <c r="U156" s="660"/>
      <c r="V156" s="10">
        <f t="shared" si="13"/>
        <v>0</v>
      </c>
      <c r="W156" s="10">
        <f t="shared" si="13"/>
        <v>0</v>
      </c>
      <c r="X156" s="10">
        <f t="shared" si="13"/>
        <v>0</v>
      </c>
      <c r="Y156" s="660"/>
      <c r="Z156" s="10">
        <f t="shared" si="14"/>
        <v>195.16</v>
      </c>
      <c r="AA156" s="10">
        <f t="shared" si="14"/>
        <v>195.16</v>
      </c>
      <c r="AB156" s="10">
        <f t="shared" si="14"/>
        <v>0</v>
      </c>
    </row>
    <row r="157" spans="1:28" x14ac:dyDescent="0.2">
      <c r="A157" s="8">
        <v>14700</v>
      </c>
      <c r="B157" s="77" t="str">
        <f t="shared" si="6"/>
        <v>Lane Cove</v>
      </c>
      <c r="C157" s="9" t="str">
        <f t="shared" si="7"/>
        <v>NSROC</v>
      </c>
      <c r="D157" s="45" t="str">
        <f t="shared" si="8"/>
        <v>S</v>
      </c>
      <c r="F157" s="10">
        <f t="shared" si="9"/>
        <v>1015.5</v>
      </c>
      <c r="G157" s="10">
        <f t="shared" si="9"/>
        <v>474.11</v>
      </c>
      <c r="H157" s="10">
        <f t="shared" si="9"/>
        <v>541.39</v>
      </c>
      <c r="I157" s="660"/>
      <c r="J157" s="10">
        <f t="shared" si="10"/>
        <v>0</v>
      </c>
      <c r="K157" s="10">
        <f t="shared" si="10"/>
        <v>0</v>
      </c>
      <c r="L157" s="10">
        <f t="shared" si="10"/>
        <v>0</v>
      </c>
      <c r="M157" s="660"/>
      <c r="N157" s="10">
        <f t="shared" si="11"/>
        <v>0</v>
      </c>
      <c r="O157" s="10">
        <f t="shared" si="11"/>
        <v>0</v>
      </c>
      <c r="P157" s="10">
        <f t="shared" si="11"/>
        <v>0</v>
      </c>
      <c r="Q157" s="660"/>
      <c r="R157" s="10">
        <f t="shared" si="12"/>
        <v>0</v>
      </c>
      <c r="S157" s="10">
        <f t="shared" si="12"/>
        <v>0</v>
      </c>
      <c r="T157" s="10">
        <f t="shared" si="12"/>
        <v>0</v>
      </c>
      <c r="U157" s="660"/>
      <c r="V157" s="10">
        <f t="shared" si="13"/>
        <v>0</v>
      </c>
      <c r="W157" s="10">
        <f t="shared" si="13"/>
        <v>0</v>
      </c>
      <c r="X157" s="10">
        <f t="shared" si="13"/>
        <v>0</v>
      </c>
      <c r="Y157" s="660"/>
      <c r="Z157" s="10">
        <f t="shared" si="14"/>
        <v>0</v>
      </c>
      <c r="AA157" s="10">
        <f t="shared" si="14"/>
        <v>0</v>
      </c>
      <c r="AB157" s="10">
        <f t="shared" si="14"/>
        <v>0</v>
      </c>
    </row>
    <row r="158" spans="1:28" x14ac:dyDescent="0.2">
      <c r="A158" s="8">
        <v>14900</v>
      </c>
      <c r="B158" s="77" t="str">
        <f t="shared" si="6"/>
        <v>Liverpool</v>
      </c>
      <c r="C158" s="9" t="str">
        <f t="shared" si="7"/>
        <v>WSROC</v>
      </c>
      <c r="D158" s="45" t="str">
        <f t="shared" si="8"/>
        <v>S</v>
      </c>
      <c r="F158" s="10">
        <f t="shared" si="9"/>
        <v>5306.28</v>
      </c>
      <c r="G158" s="10">
        <f t="shared" si="9"/>
        <v>240.07999999999993</v>
      </c>
      <c r="H158" s="10">
        <f t="shared" si="9"/>
        <v>5066.2</v>
      </c>
      <c r="I158" s="660"/>
      <c r="J158" s="10">
        <f t="shared" si="10"/>
        <v>18</v>
      </c>
      <c r="K158" s="10">
        <f t="shared" si="10"/>
        <v>6</v>
      </c>
      <c r="L158" s="10">
        <f t="shared" si="10"/>
        <v>12</v>
      </c>
      <c r="M158" s="660"/>
      <c r="N158" s="10">
        <f t="shared" si="11"/>
        <v>570.67999999999995</v>
      </c>
      <c r="O158" s="10">
        <f t="shared" si="11"/>
        <v>570.67999999999995</v>
      </c>
      <c r="P158" s="10">
        <f t="shared" si="11"/>
        <v>0</v>
      </c>
      <c r="Q158" s="660"/>
      <c r="R158" s="10">
        <f t="shared" si="12"/>
        <v>0</v>
      </c>
      <c r="S158" s="10">
        <f t="shared" si="12"/>
        <v>0</v>
      </c>
      <c r="T158" s="10">
        <f t="shared" si="12"/>
        <v>0</v>
      </c>
      <c r="U158" s="660"/>
      <c r="V158" s="10">
        <f t="shared" si="13"/>
        <v>0</v>
      </c>
      <c r="W158" s="10">
        <f t="shared" si="13"/>
        <v>0</v>
      </c>
      <c r="X158" s="10">
        <f t="shared" si="13"/>
        <v>0</v>
      </c>
      <c r="Y158" s="660"/>
      <c r="Z158" s="10">
        <f t="shared" si="14"/>
        <v>0</v>
      </c>
      <c r="AA158" s="10">
        <f t="shared" si="14"/>
        <v>0</v>
      </c>
      <c r="AB158" s="10">
        <f t="shared" si="14"/>
        <v>0</v>
      </c>
    </row>
    <row r="159" spans="1:28" x14ac:dyDescent="0.2">
      <c r="A159" s="8">
        <v>15350</v>
      </c>
      <c r="B159" s="77" t="str">
        <f t="shared" si="6"/>
        <v>Mosman</v>
      </c>
      <c r="C159" s="9" t="str">
        <f t="shared" si="7"/>
        <v>NSROC</v>
      </c>
      <c r="D159" s="45" t="str">
        <f t="shared" si="8"/>
        <v>S</v>
      </c>
      <c r="F159" s="10">
        <f t="shared" si="9"/>
        <v>552</v>
      </c>
      <c r="G159" s="10">
        <f t="shared" si="9"/>
        <v>0</v>
      </c>
      <c r="H159" s="10">
        <f t="shared" si="9"/>
        <v>552</v>
      </c>
      <c r="I159" s="660"/>
      <c r="J159" s="10">
        <f t="shared" si="10"/>
        <v>40</v>
      </c>
      <c r="K159" s="10">
        <f t="shared" si="10"/>
        <v>40</v>
      </c>
      <c r="L159" s="10">
        <f t="shared" si="10"/>
        <v>0</v>
      </c>
      <c r="M159" s="660"/>
      <c r="N159" s="10">
        <f t="shared" si="11"/>
        <v>0</v>
      </c>
      <c r="O159" s="10">
        <f t="shared" si="11"/>
        <v>0</v>
      </c>
      <c r="P159" s="10">
        <f t="shared" si="11"/>
        <v>0</v>
      </c>
      <c r="Q159" s="660"/>
      <c r="R159" s="10">
        <f t="shared" si="12"/>
        <v>7</v>
      </c>
      <c r="S159" s="10">
        <f t="shared" si="12"/>
        <v>7</v>
      </c>
      <c r="T159" s="10">
        <f t="shared" si="12"/>
        <v>0</v>
      </c>
      <c r="U159" s="660"/>
      <c r="V159" s="10">
        <f t="shared" si="13"/>
        <v>0</v>
      </c>
      <c r="W159" s="10">
        <f t="shared" si="13"/>
        <v>0</v>
      </c>
      <c r="X159" s="10">
        <f t="shared" si="13"/>
        <v>0</v>
      </c>
      <c r="Y159" s="660"/>
      <c r="Z159" s="10">
        <f t="shared" si="14"/>
        <v>160</v>
      </c>
      <c r="AA159" s="10">
        <f t="shared" si="14"/>
        <v>160</v>
      </c>
      <c r="AB159" s="10">
        <f t="shared" si="14"/>
        <v>0</v>
      </c>
    </row>
    <row r="160" spans="1:28" x14ac:dyDescent="0.2">
      <c r="A160" s="8">
        <v>15950</v>
      </c>
      <c r="B160" s="77" t="str">
        <f t="shared" si="6"/>
        <v>North Sydney</v>
      </c>
      <c r="C160" s="9" t="str">
        <f t="shared" si="7"/>
        <v>NSROC</v>
      </c>
      <c r="D160" s="45" t="str">
        <f t="shared" si="8"/>
        <v>S</v>
      </c>
      <c r="F160" s="10">
        <f t="shared" si="9"/>
        <v>2082</v>
      </c>
      <c r="G160" s="10">
        <f t="shared" si="9"/>
        <v>0</v>
      </c>
      <c r="H160" s="10">
        <f t="shared" si="9"/>
        <v>2082</v>
      </c>
      <c r="I160" s="660"/>
      <c r="J160" s="10">
        <f t="shared" si="10"/>
        <v>0</v>
      </c>
      <c r="K160" s="10">
        <f t="shared" si="10"/>
        <v>0</v>
      </c>
      <c r="L160" s="10">
        <f t="shared" si="10"/>
        <v>0</v>
      </c>
      <c r="M160" s="660"/>
      <c r="N160" s="10">
        <f t="shared" si="11"/>
        <v>0</v>
      </c>
      <c r="O160" s="10">
        <f t="shared" si="11"/>
        <v>0</v>
      </c>
      <c r="P160" s="10">
        <f t="shared" si="11"/>
        <v>0</v>
      </c>
      <c r="Q160" s="660"/>
      <c r="R160" s="10">
        <f t="shared" si="12"/>
        <v>0</v>
      </c>
      <c r="S160" s="10">
        <f t="shared" si="12"/>
        <v>0</v>
      </c>
      <c r="T160" s="10">
        <f t="shared" si="12"/>
        <v>0</v>
      </c>
      <c r="U160" s="660"/>
      <c r="V160" s="10">
        <f t="shared" si="13"/>
        <v>0</v>
      </c>
      <c r="W160" s="10">
        <f t="shared" si="13"/>
        <v>0</v>
      </c>
      <c r="X160" s="10">
        <f t="shared" si="13"/>
        <v>0</v>
      </c>
      <c r="Y160" s="660"/>
      <c r="Z160" s="10">
        <f t="shared" si="14"/>
        <v>0</v>
      </c>
      <c r="AA160" s="10">
        <f t="shared" si="14"/>
        <v>0</v>
      </c>
      <c r="AB160" s="10">
        <f t="shared" si="14"/>
        <v>0</v>
      </c>
    </row>
    <row r="161" spans="1:28" x14ac:dyDescent="0.2">
      <c r="A161" s="8">
        <v>15990</v>
      </c>
      <c r="B161" s="77" t="str">
        <f t="shared" si="6"/>
        <v>Northern Beaches</v>
      </c>
      <c r="C161" s="9">
        <f t="shared" si="7"/>
        <v>0</v>
      </c>
      <c r="D161" s="45" t="str">
        <f t="shared" si="8"/>
        <v>S</v>
      </c>
      <c r="F161" s="10">
        <f t="shared" si="9"/>
        <v>8332.02</v>
      </c>
      <c r="G161" s="10">
        <f t="shared" si="9"/>
        <v>0</v>
      </c>
      <c r="H161" s="10">
        <f t="shared" si="9"/>
        <v>8332.02</v>
      </c>
      <c r="I161" s="660"/>
      <c r="J161" s="10">
        <f t="shared" si="10"/>
        <v>0</v>
      </c>
      <c r="K161" s="10">
        <f t="shared" si="10"/>
        <v>0</v>
      </c>
      <c r="L161" s="10">
        <f t="shared" si="10"/>
        <v>0</v>
      </c>
      <c r="M161" s="660"/>
      <c r="N161" s="10">
        <f t="shared" si="11"/>
        <v>27.64</v>
      </c>
      <c r="O161" s="10">
        <f t="shared" si="11"/>
        <v>27.64</v>
      </c>
      <c r="P161" s="10">
        <f t="shared" si="11"/>
        <v>0</v>
      </c>
      <c r="Q161" s="660"/>
      <c r="R161" s="10">
        <f t="shared" si="12"/>
        <v>0</v>
      </c>
      <c r="S161" s="10">
        <f t="shared" si="12"/>
        <v>0</v>
      </c>
      <c r="T161" s="10">
        <f t="shared" si="12"/>
        <v>0</v>
      </c>
      <c r="U161" s="660"/>
      <c r="V161" s="10">
        <f t="shared" si="13"/>
        <v>0</v>
      </c>
      <c r="W161" s="10">
        <f t="shared" si="13"/>
        <v>0</v>
      </c>
      <c r="X161" s="10">
        <f t="shared" si="13"/>
        <v>0</v>
      </c>
      <c r="Y161" s="660"/>
      <c r="Z161" s="10">
        <f t="shared" si="14"/>
        <v>0</v>
      </c>
      <c r="AA161" s="10">
        <f t="shared" si="14"/>
        <v>0</v>
      </c>
      <c r="AB161" s="10">
        <f t="shared" si="14"/>
        <v>0</v>
      </c>
    </row>
    <row r="162" spans="1:28" x14ac:dyDescent="0.2">
      <c r="A162" s="8">
        <v>16260</v>
      </c>
      <c r="B162" s="77" t="str">
        <f t="shared" si="6"/>
        <v>Parramatta</v>
      </c>
      <c r="C162" s="9" t="str">
        <f t="shared" si="7"/>
        <v>WSROC</v>
      </c>
      <c r="D162" s="45" t="str">
        <f t="shared" si="8"/>
        <v>S</v>
      </c>
      <c r="F162" s="10">
        <f t="shared" si="9"/>
        <v>0</v>
      </c>
      <c r="G162" s="10">
        <f t="shared" si="9"/>
        <v>0</v>
      </c>
      <c r="H162" s="10">
        <f t="shared" si="9"/>
        <v>0</v>
      </c>
      <c r="I162" s="660"/>
      <c r="J162" s="10">
        <f t="shared" si="10"/>
        <v>0</v>
      </c>
      <c r="K162" s="10">
        <f t="shared" si="10"/>
        <v>0</v>
      </c>
      <c r="L162" s="10">
        <f t="shared" si="10"/>
        <v>0</v>
      </c>
      <c r="M162" s="660"/>
      <c r="N162" s="10">
        <f t="shared" si="11"/>
        <v>0</v>
      </c>
      <c r="O162" s="10">
        <f t="shared" si="11"/>
        <v>0</v>
      </c>
      <c r="P162" s="10">
        <f t="shared" si="11"/>
        <v>0</v>
      </c>
      <c r="Q162" s="660"/>
      <c r="R162" s="10">
        <f t="shared" si="12"/>
        <v>0</v>
      </c>
      <c r="S162" s="10">
        <f t="shared" si="12"/>
        <v>0</v>
      </c>
      <c r="T162" s="10">
        <f t="shared" si="12"/>
        <v>0</v>
      </c>
      <c r="U162" s="660"/>
      <c r="V162" s="10">
        <f t="shared" si="13"/>
        <v>0</v>
      </c>
      <c r="W162" s="10">
        <f t="shared" si="13"/>
        <v>0</v>
      </c>
      <c r="X162" s="10">
        <f t="shared" si="13"/>
        <v>0</v>
      </c>
      <c r="Y162" s="660"/>
      <c r="Z162" s="10">
        <f t="shared" si="14"/>
        <v>0</v>
      </c>
      <c r="AA162" s="10">
        <f t="shared" si="14"/>
        <v>0</v>
      </c>
      <c r="AB162" s="10">
        <f t="shared" si="14"/>
        <v>0</v>
      </c>
    </row>
    <row r="163" spans="1:28" x14ac:dyDescent="0.2">
      <c r="A163" s="8">
        <v>16350</v>
      </c>
      <c r="B163" s="77" t="str">
        <f t="shared" si="6"/>
        <v>Penrith</v>
      </c>
      <c r="C163" s="9" t="str">
        <f t="shared" si="7"/>
        <v>MSWA</v>
      </c>
      <c r="D163" s="45" t="str">
        <f t="shared" si="8"/>
        <v>S</v>
      </c>
      <c r="F163" s="10">
        <f t="shared" si="9"/>
        <v>10065.6</v>
      </c>
      <c r="G163" s="10">
        <f t="shared" si="9"/>
        <v>0</v>
      </c>
      <c r="H163" s="10">
        <f t="shared" si="9"/>
        <v>10065.6</v>
      </c>
      <c r="I163" s="660"/>
      <c r="J163" s="10">
        <f t="shared" si="10"/>
        <v>384.89</v>
      </c>
      <c r="K163" s="10">
        <f t="shared" si="10"/>
        <v>384.89</v>
      </c>
      <c r="L163" s="10">
        <f t="shared" si="10"/>
        <v>0</v>
      </c>
      <c r="M163" s="660"/>
      <c r="N163" s="10">
        <f t="shared" si="11"/>
        <v>41.49</v>
      </c>
      <c r="O163" s="10">
        <f t="shared" si="11"/>
        <v>41.49</v>
      </c>
      <c r="P163" s="10">
        <f t="shared" si="11"/>
        <v>0</v>
      </c>
      <c r="Q163" s="660"/>
      <c r="R163" s="10">
        <f t="shared" si="12"/>
        <v>0</v>
      </c>
      <c r="S163" s="10">
        <f t="shared" si="12"/>
        <v>0</v>
      </c>
      <c r="T163" s="10">
        <f t="shared" si="12"/>
        <v>0</v>
      </c>
      <c r="U163" s="660"/>
      <c r="V163" s="10">
        <f t="shared" si="13"/>
        <v>83.52</v>
      </c>
      <c r="W163" s="10">
        <f t="shared" si="13"/>
        <v>0</v>
      </c>
      <c r="X163" s="10">
        <f t="shared" si="13"/>
        <v>83.52</v>
      </c>
      <c r="Y163" s="660"/>
      <c r="Z163" s="10">
        <f t="shared" si="14"/>
        <v>25.58</v>
      </c>
      <c r="AA163" s="10">
        <f t="shared" si="14"/>
        <v>25.069999999999997</v>
      </c>
      <c r="AB163" s="10">
        <f t="shared" si="14"/>
        <v>0.51</v>
      </c>
    </row>
    <row r="164" spans="1:28" x14ac:dyDescent="0.2">
      <c r="A164" s="8">
        <v>16550</v>
      </c>
      <c r="B164" s="77" t="str">
        <f t="shared" si="6"/>
        <v>Randwick</v>
      </c>
      <c r="C164" s="9" t="str">
        <f t="shared" si="7"/>
        <v>SSROC</v>
      </c>
      <c r="D164" s="45" t="str">
        <f t="shared" si="8"/>
        <v>S</v>
      </c>
      <c r="F164" s="10">
        <f t="shared" si="9"/>
        <v>3973</v>
      </c>
      <c r="G164" s="10">
        <f t="shared" si="9"/>
        <v>0</v>
      </c>
      <c r="H164" s="10">
        <f t="shared" si="9"/>
        <v>3973</v>
      </c>
      <c r="I164" s="660"/>
      <c r="J164" s="10">
        <f t="shared" si="10"/>
        <v>367.78</v>
      </c>
      <c r="K164" s="10">
        <f t="shared" si="10"/>
        <v>367.78</v>
      </c>
      <c r="L164" s="10">
        <f t="shared" si="10"/>
        <v>0</v>
      </c>
      <c r="M164" s="660"/>
      <c r="N164" s="10">
        <f t="shared" si="11"/>
        <v>0</v>
      </c>
      <c r="O164" s="10">
        <f t="shared" si="11"/>
        <v>0</v>
      </c>
      <c r="P164" s="10">
        <f t="shared" si="11"/>
        <v>0</v>
      </c>
      <c r="Q164" s="660"/>
      <c r="R164" s="10">
        <f t="shared" si="12"/>
        <v>0</v>
      </c>
      <c r="S164" s="10">
        <f t="shared" si="12"/>
        <v>0</v>
      </c>
      <c r="T164" s="10">
        <f t="shared" si="12"/>
        <v>0</v>
      </c>
      <c r="U164" s="660"/>
      <c r="V164" s="10">
        <f t="shared" si="13"/>
        <v>0</v>
      </c>
      <c r="W164" s="10">
        <f t="shared" si="13"/>
        <v>0</v>
      </c>
      <c r="X164" s="10">
        <f t="shared" si="13"/>
        <v>0</v>
      </c>
      <c r="Y164" s="660"/>
      <c r="Z164" s="10">
        <f t="shared" si="14"/>
        <v>0</v>
      </c>
      <c r="AA164" s="10">
        <f t="shared" si="14"/>
        <v>0</v>
      </c>
      <c r="AB164" s="10">
        <f t="shared" si="14"/>
        <v>0</v>
      </c>
    </row>
    <row r="165" spans="1:28" x14ac:dyDescent="0.2">
      <c r="A165" s="8">
        <v>16700</v>
      </c>
      <c r="B165" s="77" t="str">
        <f t="shared" si="6"/>
        <v>Ryde</v>
      </c>
      <c r="C165" s="9" t="str">
        <f t="shared" si="7"/>
        <v>NSROC</v>
      </c>
      <c r="D165" s="45" t="str">
        <f t="shared" si="8"/>
        <v>S</v>
      </c>
      <c r="F165" s="10">
        <f t="shared" si="9"/>
        <v>5421</v>
      </c>
      <c r="G165" s="10">
        <f t="shared" si="9"/>
        <v>2448</v>
      </c>
      <c r="H165" s="10">
        <f t="shared" si="9"/>
        <v>2973</v>
      </c>
      <c r="I165" s="660"/>
      <c r="J165" s="10">
        <f t="shared" si="10"/>
        <v>208</v>
      </c>
      <c r="K165" s="10">
        <f t="shared" si="10"/>
        <v>104</v>
      </c>
      <c r="L165" s="10">
        <f t="shared" si="10"/>
        <v>104</v>
      </c>
      <c r="M165" s="660"/>
      <c r="N165" s="10">
        <f t="shared" si="11"/>
        <v>209</v>
      </c>
      <c r="O165" s="10">
        <f t="shared" si="11"/>
        <v>209</v>
      </c>
      <c r="P165" s="10">
        <f t="shared" si="11"/>
        <v>0</v>
      </c>
      <c r="Q165" s="660"/>
      <c r="R165" s="10">
        <f t="shared" si="12"/>
        <v>45</v>
      </c>
      <c r="S165" s="10">
        <f t="shared" si="12"/>
        <v>45</v>
      </c>
      <c r="T165" s="10">
        <f t="shared" si="12"/>
        <v>0</v>
      </c>
      <c r="U165" s="660"/>
      <c r="V165" s="10">
        <f t="shared" si="13"/>
        <v>0</v>
      </c>
      <c r="W165" s="10">
        <f t="shared" si="13"/>
        <v>0</v>
      </c>
      <c r="X165" s="10">
        <f t="shared" si="13"/>
        <v>0</v>
      </c>
      <c r="Y165" s="660"/>
      <c r="Z165" s="10">
        <f t="shared" si="14"/>
        <v>182</v>
      </c>
      <c r="AA165" s="10">
        <f t="shared" si="14"/>
        <v>182</v>
      </c>
      <c r="AB165" s="10">
        <f t="shared" si="14"/>
        <v>0</v>
      </c>
    </row>
    <row r="166" spans="1:28" x14ac:dyDescent="0.2">
      <c r="A166" s="8">
        <v>17100</v>
      </c>
      <c r="B166" s="77" t="str">
        <f t="shared" si="6"/>
        <v>Strathfield</v>
      </c>
      <c r="C166" s="9">
        <f t="shared" si="7"/>
        <v>0</v>
      </c>
      <c r="D166" s="45" t="str">
        <f t="shared" si="8"/>
        <v>S</v>
      </c>
      <c r="F166" s="10">
        <f t="shared" si="9"/>
        <v>955.09</v>
      </c>
      <c r="G166" s="10">
        <f t="shared" si="9"/>
        <v>0</v>
      </c>
      <c r="H166" s="10">
        <f t="shared" si="9"/>
        <v>955.09</v>
      </c>
      <c r="I166" s="660"/>
      <c r="J166" s="10">
        <f t="shared" si="10"/>
        <v>120</v>
      </c>
      <c r="K166" s="10">
        <f t="shared" si="10"/>
        <v>120</v>
      </c>
      <c r="L166" s="10">
        <f t="shared" si="10"/>
        <v>0</v>
      </c>
      <c r="M166" s="660"/>
      <c r="N166" s="10">
        <f t="shared" si="11"/>
        <v>0</v>
      </c>
      <c r="O166" s="10">
        <f t="shared" si="11"/>
        <v>0</v>
      </c>
      <c r="P166" s="10">
        <f t="shared" si="11"/>
        <v>0</v>
      </c>
      <c r="Q166" s="660"/>
      <c r="R166" s="10">
        <f t="shared" si="12"/>
        <v>0</v>
      </c>
      <c r="S166" s="10">
        <f t="shared" si="12"/>
        <v>0</v>
      </c>
      <c r="T166" s="10">
        <f t="shared" si="12"/>
        <v>0</v>
      </c>
      <c r="U166" s="660"/>
      <c r="V166" s="10">
        <f t="shared" si="13"/>
        <v>0</v>
      </c>
      <c r="W166" s="10">
        <f t="shared" si="13"/>
        <v>0</v>
      </c>
      <c r="X166" s="10">
        <f t="shared" si="13"/>
        <v>0</v>
      </c>
      <c r="Y166" s="660"/>
      <c r="Z166" s="10">
        <f t="shared" si="14"/>
        <v>0</v>
      </c>
      <c r="AA166" s="10">
        <f t="shared" si="14"/>
        <v>0</v>
      </c>
      <c r="AB166" s="10">
        <f t="shared" si="14"/>
        <v>0</v>
      </c>
    </row>
    <row r="167" spans="1:28" x14ac:dyDescent="0.2">
      <c r="A167" s="8">
        <v>17150</v>
      </c>
      <c r="B167" s="77" t="str">
        <f t="shared" si="6"/>
        <v>Sutherland Shire</v>
      </c>
      <c r="C167" s="9" t="str">
        <f t="shared" si="7"/>
        <v>SSROC</v>
      </c>
      <c r="D167" s="45" t="str">
        <f t="shared" si="8"/>
        <v>S</v>
      </c>
      <c r="F167" s="10">
        <f t="shared" si="9"/>
        <v>8943</v>
      </c>
      <c r="G167" s="10">
        <f t="shared" si="9"/>
        <v>0</v>
      </c>
      <c r="H167" s="10">
        <f t="shared" si="9"/>
        <v>8943</v>
      </c>
      <c r="I167" s="660"/>
      <c r="J167" s="10">
        <f t="shared" si="10"/>
        <v>452</v>
      </c>
      <c r="K167" s="10">
        <f t="shared" si="10"/>
        <v>339</v>
      </c>
      <c r="L167" s="10">
        <f t="shared" si="10"/>
        <v>113</v>
      </c>
      <c r="M167" s="660"/>
      <c r="N167" s="10">
        <f t="shared" si="11"/>
        <v>1043</v>
      </c>
      <c r="O167" s="10">
        <f t="shared" si="11"/>
        <v>1043</v>
      </c>
      <c r="P167" s="10">
        <f t="shared" si="11"/>
        <v>0</v>
      </c>
      <c r="Q167" s="660"/>
      <c r="R167" s="10">
        <f t="shared" si="12"/>
        <v>168</v>
      </c>
      <c r="S167" s="10">
        <f t="shared" si="12"/>
        <v>168</v>
      </c>
      <c r="T167" s="10">
        <f t="shared" si="12"/>
        <v>0</v>
      </c>
      <c r="U167" s="660"/>
      <c r="V167" s="10">
        <f t="shared" si="13"/>
        <v>0</v>
      </c>
      <c r="W167" s="10">
        <f t="shared" si="13"/>
        <v>0</v>
      </c>
      <c r="X167" s="10">
        <f t="shared" si="13"/>
        <v>0</v>
      </c>
      <c r="Y167" s="660"/>
      <c r="Z167" s="10">
        <f t="shared" si="14"/>
        <v>0</v>
      </c>
      <c r="AA167" s="10">
        <f t="shared" si="14"/>
        <v>0</v>
      </c>
      <c r="AB167" s="10">
        <f t="shared" si="14"/>
        <v>0</v>
      </c>
    </row>
    <row r="168" spans="1:28" x14ac:dyDescent="0.2">
      <c r="A168" s="8">
        <v>17200</v>
      </c>
      <c r="B168" s="77" t="str">
        <f t="shared" si="6"/>
        <v>Sydney</v>
      </c>
      <c r="C168" s="9" t="str">
        <f t="shared" si="7"/>
        <v>SSROC</v>
      </c>
      <c r="D168" s="45" t="str">
        <f t="shared" si="8"/>
        <v>S</v>
      </c>
      <c r="F168" s="10">
        <f t="shared" si="9"/>
        <v>3444</v>
      </c>
      <c r="G168" s="10">
        <f t="shared" si="9"/>
        <v>3205</v>
      </c>
      <c r="H168" s="10">
        <f t="shared" si="9"/>
        <v>239</v>
      </c>
      <c r="I168" s="660"/>
      <c r="J168" s="10">
        <f t="shared" si="10"/>
        <v>429</v>
      </c>
      <c r="K168" s="10">
        <f t="shared" si="10"/>
        <v>322</v>
      </c>
      <c r="L168" s="10">
        <f t="shared" si="10"/>
        <v>107</v>
      </c>
      <c r="M168" s="660"/>
      <c r="N168" s="10">
        <f t="shared" si="11"/>
        <v>531</v>
      </c>
      <c r="O168" s="10">
        <f t="shared" si="11"/>
        <v>511</v>
      </c>
      <c r="P168" s="10">
        <f t="shared" si="11"/>
        <v>20</v>
      </c>
      <c r="Q168" s="660"/>
      <c r="R168" s="10">
        <f t="shared" si="12"/>
        <v>6</v>
      </c>
      <c r="S168" s="10">
        <f t="shared" si="12"/>
        <v>6</v>
      </c>
      <c r="T168" s="10">
        <f t="shared" si="12"/>
        <v>0</v>
      </c>
      <c r="U168" s="660"/>
      <c r="V168" s="10">
        <f t="shared" si="13"/>
        <v>21</v>
      </c>
      <c r="W168" s="10">
        <f t="shared" si="13"/>
        <v>21</v>
      </c>
      <c r="X168" s="10">
        <f t="shared" si="13"/>
        <v>0</v>
      </c>
      <c r="Y168" s="660"/>
      <c r="Z168" s="10">
        <f t="shared" si="14"/>
        <v>0</v>
      </c>
      <c r="AA168" s="10">
        <f t="shared" si="14"/>
        <v>0</v>
      </c>
      <c r="AB168" s="10">
        <f t="shared" si="14"/>
        <v>0</v>
      </c>
    </row>
    <row r="169" spans="1:28" x14ac:dyDescent="0.2">
      <c r="A169" s="8">
        <v>17420</v>
      </c>
      <c r="B169" s="77" t="str">
        <f t="shared" si="6"/>
        <v>The Hills Shire</v>
      </c>
      <c r="C169" s="9" t="str">
        <f t="shared" si="7"/>
        <v>WSROC</v>
      </c>
      <c r="D169" s="45" t="str">
        <f t="shared" si="8"/>
        <v>S</v>
      </c>
      <c r="F169" s="10">
        <f t="shared" si="9"/>
        <v>7050</v>
      </c>
      <c r="G169" s="10">
        <f t="shared" si="9"/>
        <v>0</v>
      </c>
      <c r="H169" s="10">
        <f t="shared" si="9"/>
        <v>7050</v>
      </c>
      <c r="I169" s="660"/>
      <c r="J169" s="10">
        <f t="shared" si="10"/>
        <v>306.77</v>
      </c>
      <c r="K169" s="10">
        <f t="shared" si="10"/>
        <v>0</v>
      </c>
      <c r="L169" s="10">
        <f t="shared" si="10"/>
        <v>306.77</v>
      </c>
      <c r="M169" s="660"/>
      <c r="N169" s="10">
        <f t="shared" si="11"/>
        <v>698.89</v>
      </c>
      <c r="O169" s="10">
        <f t="shared" si="11"/>
        <v>698.89</v>
      </c>
      <c r="P169" s="10">
        <f t="shared" si="11"/>
        <v>0</v>
      </c>
      <c r="Q169" s="660"/>
      <c r="R169" s="10">
        <f t="shared" si="12"/>
        <v>0</v>
      </c>
      <c r="S169" s="10">
        <f t="shared" si="12"/>
        <v>0</v>
      </c>
      <c r="T169" s="10">
        <f t="shared" si="12"/>
        <v>0</v>
      </c>
      <c r="U169" s="660"/>
      <c r="V169" s="10">
        <f t="shared" si="13"/>
        <v>0</v>
      </c>
      <c r="W169" s="10">
        <f t="shared" si="13"/>
        <v>0</v>
      </c>
      <c r="X169" s="10">
        <f t="shared" si="13"/>
        <v>0</v>
      </c>
      <c r="Y169" s="660"/>
      <c r="Z169" s="10">
        <f t="shared" si="14"/>
        <v>701.43</v>
      </c>
      <c r="AA169" s="10">
        <f t="shared" si="14"/>
        <v>701.43</v>
      </c>
      <c r="AB169" s="10">
        <f t="shared" si="14"/>
        <v>0</v>
      </c>
    </row>
    <row r="170" spans="1:28" x14ac:dyDescent="0.2">
      <c r="A170" s="8">
        <v>18050</v>
      </c>
      <c r="B170" s="77" t="str">
        <f t="shared" si="6"/>
        <v>Waverley</v>
      </c>
      <c r="C170" s="9" t="str">
        <f t="shared" si="7"/>
        <v>SSROC</v>
      </c>
      <c r="D170" s="45" t="str">
        <f t="shared" si="8"/>
        <v>S</v>
      </c>
      <c r="F170" s="10">
        <f t="shared" si="9"/>
        <v>1938</v>
      </c>
      <c r="G170" s="10">
        <f t="shared" si="9"/>
        <v>1642</v>
      </c>
      <c r="H170" s="10">
        <f t="shared" si="9"/>
        <v>296</v>
      </c>
      <c r="I170" s="660"/>
      <c r="J170" s="10">
        <f t="shared" si="10"/>
        <v>99</v>
      </c>
      <c r="K170" s="10">
        <f t="shared" si="10"/>
        <v>99</v>
      </c>
      <c r="L170" s="10">
        <f t="shared" si="10"/>
        <v>0</v>
      </c>
      <c r="M170" s="660"/>
      <c r="N170" s="10">
        <f t="shared" si="11"/>
        <v>376</v>
      </c>
      <c r="O170" s="10">
        <f t="shared" si="11"/>
        <v>376</v>
      </c>
      <c r="P170" s="10">
        <f t="shared" si="11"/>
        <v>0</v>
      </c>
      <c r="Q170" s="660"/>
      <c r="R170" s="10">
        <f t="shared" si="12"/>
        <v>0</v>
      </c>
      <c r="S170" s="10">
        <f t="shared" si="12"/>
        <v>0</v>
      </c>
      <c r="T170" s="10">
        <f t="shared" si="12"/>
        <v>0</v>
      </c>
      <c r="U170" s="660"/>
      <c r="V170" s="10">
        <f t="shared" si="13"/>
        <v>260</v>
      </c>
      <c r="W170" s="10">
        <f t="shared" si="13"/>
        <v>260</v>
      </c>
      <c r="X170" s="10">
        <f t="shared" si="13"/>
        <v>0</v>
      </c>
      <c r="Y170" s="660"/>
      <c r="Z170" s="10">
        <f t="shared" si="14"/>
        <v>0</v>
      </c>
      <c r="AA170" s="10">
        <f t="shared" si="14"/>
        <v>0</v>
      </c>
      <c r="AB170" s="10">
        <f t="shared" si="14"/>
        <v>0</v>
      </c>
    </row>
    <row r="171" spans="1:28" x14ac:dyDescent="0.2">
      <c r="A171" s="8">
        <v>18250</v>
      </c>
      <c r="B171" s="77" t="str">
        <f t="shared" si="6"/>
        <v>Willoughby</v>
      </c>
      <c r="C171" s="9" t="str">
        <f t="shared" si="7"/>
        <v>NSROC</v>
      </c>
      <c r="D171" s="45" t="str">
        <f t="shared" si="8"/>
        <v>S</v>
      </c>
      <c r="F171" s="10">
        <f t="shared" si="9"/>
        <v>2159.98</v>
      </c>
      <c r="G171" s="10">
        <f t="shared" si="9"/>
        <v>1012.48</v>
      </c>
      <c r="H171" s="10">
        <f t="shared" si="9"/>
        <v>1147.5</v>
      </c>
      <c r="I171" s="660"/>
      <c r="J171" s="10">
        <f t="shared" si="10"/>
        <v>0</v>
      </c>
      <c r="K171" s="10">
        <f t="shared" si="10"/>
        <v>0</v>
      </c>
      <c r="L171" s="10">
        <f t="shared" si="10"/>
        <v>0</v>
      </c>
      <c r="M171" s="660"/>
      <c r="N171" s="10">
        <f t="shared" si="11"/>
        <v>0</v>
      </c>
      <c r="O171" s="10">
        <f t="shared" si="11"/>
        <v>0</v>
      </c>
      <c r="P171" s="10">
        <f t="shared" si="11"/>
        <v>0</v>
      </c>
      <c r="Q171" s="660"/>
      <c r="R171" s="10">
        <f t="shared" si="12"/>
        <v>0</v>
      </c>
      <c r="S171" s="10">
        <f t="shared" si="12"/>
        <v>0</v>
      </c>
      <c r="T171" s="10">
        <f t="shared" si="12"/>
        <v>0</v>
      </c>
      <c r="U171" s="660"/>
      <c r="V171" s="10">
        <f t="shared" si="13"/>
        <v>25</v>
      </c>
      <c r="W171" s="10">
        <f t="shared" si="13"/>
        <v>25</v>
      </c>
      <c r="X171" s="10">
        <f t="shared" si="13"/>
        <v>0</v>
      </c>
      <c r="Y171" s="660"/>
      <c r="Z171" s="10">
        <f t="shared" si="14"/>
        <v>0</v>
      </c>
      <c r="AA171" s="10">
        <f t="shared" si="14"/>
        <v>0</v>
      </c>
      <c r="AB171" s="10">
        <f t="shared" si="14"/>
        <v>0</v>
      </c>
    </row>
    <row r="172" spans="1:28" x14ac:dyDescent="0.2">
      <c r="A172" s="8">
        <v>18500</v>
      </c>
      <c r="B172" s="77" t="str">
        <f t="shared" si="6"/>
        <v>Woollahra</v>
      </c>
      <c r="C172" s="9" t="str">
        <f t="shared" si="7"/>
        <v>SSROC</v>
      </c>
      <c r="D172" s="45" t="str">
        <f t="shared" si="8"/>
        <v>S</v>
      </c>
      <c r="F172" s="10">
        <v>0</v>
      </c>
      <c r="G172" s="10">
        <v>0</v>
      </c>
      <c r="H172" s="10">
        <v>0</v>
      </c>
      <c r="I172" s="660"/>
      <c r="J172" s="10">
        <v>2364</v>
      </c>
      <c r="K172" s="10">
        <v>2364</v>
      </c>
      <c r="L172" s="10">
        <v>0</v>
      </c>
      <c r="M172" s="660"/>
      <c r="N172" s="10"/>
      <c r="O172" s="10">
        <v>0</v>
      </c>
      <c r="P172" s="10">
        <v>0</v>
      </c>
      <c r="Q172" s="660"/>
      <c r="R172" s="10"/>
      <c r="S172" s="10">
        <v>0</v>
      </c>
      <c r="T172" s="10">
        <v>0</v>
      </c>
      <c r="U172" s="660"/>
      <c r="V172" s="10">
        <v>16.600000000000001</v>
      </c>
      <c r="W172" s="10">
        <v>16.600000000000001</v>
      </c>
      <c r="X172" s="10">
        <v>0</v>
      </c>
      <c r="Y172" s="660"/>
      <c r="Z172" s="10">
        <v>0</v>
      </c>
      <c r="AA172" s="10">
        <v>0</v>
      </c>
      <c r="AB172" s="10">
        <v>0</v>
      </c>
    </row>
    <row r="173" spans="1:28" x14ac:dyDescent="0.2">
      <c r="A173" s="8">
        <v>11650</v>
      </c>
      <c r="B173" s="77" t="str">
        <f t="shared" si="6"/>
        <v>Central Coast</v>
      </c>
      <c r="C173" s="9" t="str">
        <f t="shared" si="7"/>
        <v>Hunter</v>
      </c>
      <c r="D173" s="45" t="str">
        <f t="shared" si="8"/>
        <v>S</v>
      </c>
      <c r="F173" s="10">
        <f t="shared" ref="F173:H183" si="15">VLOOKUP($A173,$A$3:$AX$130,F$142,FALSE)</f>
        <v>22456</v>
      </c>
      <c r="G173" s="10">
        <f t="shared" si="15"/>
        <v>0</v>
      </c>
      <c r="H173" s="10">
        <f t="shared" si="15"/>
        <v>22456</v>
      </c>
      <c r="I173" s="660"/>
      <c r="J173" s="10">
        <f t="shared" ref="J173:L183" si="16">VLOOKUP($A173,$A$3:$AX$130,J$142,FALSE)</f>
        <v>0</v>
      </c>
      <c r="K173" s="10">
        <f t="shared" si="16"/>
        <v>0</v>
      </c>
      <c r="L173" s="10">
        <f t="shared" si="16"/>
        <v>0</v>
      </c>
      <c r="M173" s="660"/>
      <c r="N173" s="10">
        <f t="shared" ref="N173:P183" si="17">VLOOKUP($A173,$A$3:$AX$130,N$142,FALSE)</f>
        <v>1782</v>
      </c>
      <c r="O173" s="10">
        <f t="shared" si="17"/>
        <v>1782</v>
      </c>
      <c r="P173" s="10">
        <f t="shared" si="17"/>
        <v>0</v>
      </c>
      <c r="Q173" s="660"/>
      <c r="R173" s="10">
        <f t="shared" ref="R173:T183" si="18">VLOOKUP($A173,$A$3:$AX$130,R$142,FALSE)</f>
        <v>0</v>
      </c>
      <c r="S173" s="10">
        <f t="shared" si="18"/>
        <v>0</v>
      </c>
      <c r="T173" s="10">
        <f t="shared" si="18"/>
        <v>0</v>
      </c>
      <c r="U173" s="660"/>
      <c r="V173" s="10">
        <f t="shared" ref="V173:X183" si="19">VLOOKUP($A173,$A$3:$AX$130,V$142,FALSE)</f>
        <v>0</v>
      </c>
      <c r="W173" s="10">
        <f t="shared" si="19"/>
        <v>0</v>
      </c>
      <c r="X173" s="10">
        <f t="shared" si="19"/>
        <v>0</v>
      </c>
      <c r="Y173" s="660"/>
      <c r="Z173" s="10">
        <f t="shared" ref="Z173:AB183" si="20">VLOOKUP($A173,$A$3:$AX$130,Z$142,FALSE)</f>
        <v>4305</v>
      </c>
      <c r="AA173" s="10">
        <f t="shared" si="20"/>
        <v>4305</v>
      </c>
      <c r="AB173" s="10">
        <f t="shared" si="20"/>
        <v>0</v>
      </c>
    </row>
    <row r="174" spans="1:28" x14ac:dyDescent="0.2">
      <c r="A174" s="8">
        <v>11720</v>
      </c>
      <c r="B174" s="77" t="str">
        <f t="shared" si="6"/>
        <v>Cessnock</v>
      </c>
      <c r="C174" s="9" t="str">
        <f t="shared" si="7"/>
        <v>Hunter</v>
      </c>
      <c r="D174" s="45" t="str">
        <f t="shared" si="8"/>
        <v>S</v>
      </c>
      <c r="F174" s="10">
        <f t="shared" si="15"/>
        <v>0</v>
      </c>
      <c r="G174" s="10">
        <f t="shared" si="15"/>
        <v>0</v>
      </c>
      <c r="H174" s="10">
        <f t="shared" si="15"/>
        <v>0</v>
      </c>
      <c r="I174" s="660"/>
      <c r="J174" s="10">
        <f t="shared" si="16"/>
        <v>0</v>
      </c>
      <c r="K174" s="10">
        <f t="shared" si="16"/>
        <v>0</v>
      </c>
      <c r="L174" s="10">
        <f t="shared" si="16"/>
        <v>0</v>
      </c>
      <c r="M174" s="660"/>
      <c r="N174" s="10">
        <f t="shared" si="17"/>
        <v>0</v>
      </c>
      <c r="O174" s="10">
        <f t="shared" si="17"/>
        <v>0</v>
      </c>
      <c r="P174" s="10">
        <f t="shared" si="17"/>
        <v>0</v>
      </c>
      <c r="Q174" s="660"/>
      <c r="R174" s="10">
        <f t="shared" si="18"/>
        <v>0</v>
      </c>
      <c r="S174" s="10">
        <f t="shared" si="18"/>
        <v>0</v>
      </c>
      <c r="T174" s="10">
        <f t="shared" si="18"/>
        <v>0</v>
      </c>
      <c r="U174" s="660"/>
      <c r="V174" s="10">
        <f t="shared" si="19"/>
        <v>0</v>
      </c>
      <c r="W174" s="10">
        <f t="shared" si="19"/>
        <v>0</v>
      </c>
      <c r="X174" s="10">
        <f t="shared" si="19"/>
        <v>0</v>
      </c>
      <c r="Y174" s="660"/>
      <c r="Z174" s="10">
        <f t="shared" si="20"/>
        <v>0</v>
      </c>
      <c r="AA174" s="10">
        <f t="shared" si="20"/>
        <v>0</v>
      </c>
      <c r="AB174" s="10">
        <f t="shared" si="20"/>
        <v>0</v>
      </c>
    </row>
    <row r="175" spans="1:28" x14ac:dyDescent="0.2">
      <c r="A175" s="8">
        <v>13800</v>
      </c>
      <c r="B175" s="77" t="str">
        <f t="shared" si="6"/>
        <v>Hawkesbury</v>
      </c>
      <c r="C175" s="9" t="str">
        <f t="shared" si="7"/>
        <v>WSROC</v>
      </c>
      <c r="D175" s="45" t="str">
        <f t="shared" si="8"/>
        <v>S</v>
      </c>
      <c r="F175" s="10">
        <f t="shared" si="15"/>
        <v>1696</v>
      </c>
      <c r="G175" s="10">
        <f t="shared" si="15"/>
        <v>848</v>
      </c>
      <c r="H175" s="10">
        <f t="shared" si="15"/>
        <v>848</v>
      </c>
      <c r="I175" s="660"/>
      <c r="J175" s="10">
        <f t="shared" si="16"/>
        <v>27.9</v>
      </c>
      <c r="K175" s="10">
        <f t="shared" si="16"/>
        <v>27.9</v>
      </c>
      <c r="L175" s="10">
        <f t="shared" si="16"/>
        <v>0</v>
      </c>
      <c r="M175" s="660"/>
      <c r="N175" s="10">
        <f t="shared" si="17"/>
        <v>0</v>
      </c>
      <c r="O175" s="10">
        <f t="shared" si="17"/>
        <v>0</v>
      </c>
      <c r="P175" s="10">
        <f t="shared" si="17"/>
        <v>0</v>
      </c>
      <c r="Q175" s="660"/>
      <c r="R175" s="10">
        <f t="shared" si="18"/>
        <v>0</v>
      </c>
      <c r="S175" s="10">
        <f t="shared" si="18"/>
        <v>0</v>
      </c>
      <c r="T175" s="10">
        <f t="shared" si="18"/>
        <v>0</v>
      </c>
      <c r="U175" s="660"/>
      <c r="V175" s="10">
        <f t="shared" si="19"/>
        <v>0</v>
      </c>
      <c r="W175" s="10">
        <f t="shared" si="19"/>
        <v>0</v>
      </c>
      <c r="X175" s="10">
        <f t="shared" si="19"/>
        <v>0</v>
      </c>
      <c r="Y175" s="660"/>
      <c r="Z175" s="10">
        <f t="shared" si="20"/>
        <v>0</v>
      </c>
      <c r="AA175" s="10">
        <f t="shared" si="20"/>
        <v>0</v>
      </c>
      <c r="AB175" s="10">
        <f t="shared" si="20"/>
        <v>0</v>
      </c>
    </row>
    <row r="176" spans="1:28" x14ac:dyDescent="0.2">
      <c r="A176" s="8">
        <v>14400</v>
      </c>
      <c r="B176" s="77" t="str">
        <f t="shared" si="6"/>
        <v>Kiama</v>
      </c>
      <c r="C176" s="9" t="str">
        <f t="shared" si="7"/>
        <v>ISJO</v>
      </c>
      <c r="D176" s="45" t="str">
        <f t="shared" si="8"/>
        <v>S</v>
      </c>
      <c r="F176" s="10">
        <f t="shared" si="15"/>
        <v>21.26</v>
      </c>
      <c r="G176" s="10">
        <f t="shared" si="15"/>
        <v>0</v>
      </c>
      <c r="H176" s="10">
        <f t="shared" si="15"/>
        <v>21.26</v>
      </c>
      <c r="I176" s="660"/>
      <c r="J176" s="10">
        <f t="shared" si="16"/>
        <v>0</v>
      </c>
      <c r="K176" s="10">
        <f t="shared" si="16"/>
        <v>0</v>
      </c>
      <c r="L176" s="10">
        <f t="shared" si="16"/>
        <v>0</v>
      </c>
      <c r="M176" s="660"/>
      <c r="N176" s="10">
        <f t="shared" si="17"/>
        <v>0</v>
      </c>
      <c r="O176" s="10">
        <f t="shared" si="17"/>
        <v>0</v>
      </c>
      <c r="P176" s="10">
        <f t="shared" si="17"/>
        <v>0</v>
      </c>
      <c r="Q176" s="660"/>
      <c r="R176" s="10">
        <f t="shared" si="18"/>
        <v>0</v>
      </c>
      <c r="S176" s="10">
        <f t="shared" si="18"/>
        <v>0</v>
      </c>
      <c r="T176" s="10">
        <f t="shared" si="18"/>
        <v>0</v>
      </c>
      <c r="U176" s="660"/>
      <c r="V176" s="10">
        <f t="shared" si="19"/>
        <v>0</v>
      </c>
      <c r="W176" s="10">
        <f t="shared" si="19"/>
        <v>0</v>
      </c>
      <c r="X176" s="10">
        <f t="shared" si="19"/>
        <v>0</v>
      </c>
      <c r="Y176" s="660"/>
      <c r="Z176" s="10">
        <f t="shared" si="20"/>
        <v>0</v>
      </c>
      <c r="AA176" s="10">
        <f t="shared" si="20"/>
        <v>0</v>
      </c>
      <c r="AB176" s="10">
        <f t="shared" si="20"/>
        <v>0</v>
      </c>
    </row>
    <row r="177" spans="1:28" x14ac:dyDescent="0.2">
      <c r="A177" s="8">
        <v>14650</v>
      </c>
      <c r="B177" s="77" t="str">
        <f t="shared" si="6"/>
        <v>Lake Macquarie</v>
      </c>
      <c r="C177" s="9" t="str">
        <f t="shared" si="7"/>
        <v>Hunter</v>
      </c>
      <c r="D177" s="45" t="str">
        <f t="shared" si="8"/>
        <v>S</v>
      </c>
      <c r="F177" s="10">
        <f t="shared" si="15"/>
        <v>9163.42</v>
      </c>
      <c r="G177" s="10">
        <f t="shared" si="15"/>
        <v>0</v>
      </c>
      <c r="H177" s="10">
        <f t="shared" si="15"/>
        <v>9163.42</v>
      </c>
      <c r="I177" s="660"/>
      <c r="J177" s="10">
        <f t="shared" si="16"/>
        <v>215.17</v>
      </c>
      <c r="K177" s="10">
        <f t="shared" si="16"/>
        <v>215.17</v>
      </c>
      <c r="L177" s="10">
        <f t="shared" si="16"/>
        <v>0</v>
      </c>
      <c r="M177" s="660"/>
      <c r="N177" s="10">
        <f t="shared" si="17"/>
        <v>626.89</v>
      </c>
      <c r="O177" s="10">
        <f t="shared" si="17"/>
        <v>626.89</v>
      </c>
      <c r="P177" s="10">
        <f t="shared" si="17"/>
        <v>0</v>
      </c>
      <c r="Q177" s="660"/>
      <c r="R177" s="10">
        <f t="shared" si="18"/>
        <v>45.1</v>
      </c>
      <c r="S177" s="10">
        <f t="shared" si="18"/>
        <v>45.1</v>
      </c>
      <c r="T177" s="10">
        <f t="shared" si="18"/>
        <v>0</v>
      </c>
      <c r="U177" s="660"/>
      <c r="V177" s="10">
        <f t="shared" si="19"/>
        <v>0</v>
      </c>
      <c r="W177" s="10">
        <f t="shared" si="19"/>
        <v>0</v>
      </c>
      <c r="X177" s="10">
        <f t="shared" si="19"/>
        <v>0</v>
      </c>
      <c r="Y177" s="660"/>
      <c r="Z177" s="10">
        <f t="shared" si="20"/>
        <v>309.08</v>
      </c>
      <c r="AA177" s="10">
        <f t="shared" si="20"/>
        <v>309.08</v>
      </c>
      <c r="AB177" s="10">
        <f t="shared" si="20"/>
        <v>0</v>
      </c>
    </row>
    <row r="178" spans="1:28" x14ac:dyDescent="0.2">
      <c r="A178" s="8">
        <v>15050</v>
      </c>
      <c r="B178" s="77" t="str">
        <f t="shared" si="6"/>
        <v>Maitland</v>
      </c>
      <c r="C178" s="9" t="str">
        <f t="shared" si="7"/>
        <v>Hunter</v>
      </c>
      <c r="D178" s="45" t="str">
        <f t="shared" si="8"/>
        <v>S</v>
      </c>
      <c r="F178" s="10">
        <f t="shared" si="15"/>
        <v>114.42</v>
      </c>
      <c r="G178" s="10">
        <f t="shared" si="15"/>
        <v>60.38</v>
      </c>
      <c r="H178" s="10">
        <f t="shared" si="15"/>
        <v>54.04</v>
      </c>
      <c r="I178" s="660"/>
      <c r="J178" s="10">
        <f t="shared" si="16"/>
        <v>9.1199999999999992</v>
      </c>
      <c r="K178" s="10">
        <f t="shared" si="16"/>
        <v>9.1199999999999992</v>
      </c>
      <c r="L178" s="10">
        <f t="shared" si="16"/>
        <v>0</v>
      </c>
      <c r="M178" s="660"/>
      <c r="N178" s="10">
        <f t="shared" si="17"/>
        <v>0</v>
      </c>
      <c r="O178" s="10">
        <f t="shared" si="17"/>
        <v>0</v>
      </c>
      <c r="P178" s="10">
        <f t="shared" si="17"/>
        <v>0</v>
      </c>
      <c r="Q178" s="660"/>
      <c r="R178" s="10">
        <f t="shared" si="18"/>
        <v>0</v>
      </c>
      <c r="S178" s="10">
        <f t="shared" si="18"/>
        <v>0</v>
      </c>
      <c r="T178" s="10">
        <f t="shared" si="18"/>
        <v>0</v>
      </c>
      <c r="U178" s="660"/>
      <c r="V178" s="10">
        <f t="shared" si="19"/>
        <v>0</v>
      </c>
      <c r="W178" s="10">
        <f t="shared" si="19"/>
        <v>0</v>
      </c>
      <c r="X178" s="10">
        <f t="shared" si="19"/>
        <v>0</v>
      </c>
      <c r="Y178" s="660"/>
      <c r="Z178" s="10">
        <f t="shared" si="20"/>
        <v>2.2799999999999998</v>
      </c>
      <c r="AA178" s="10">
        <f t="shared" si="20"/>
        <v>2.2799999999999998</v>
      </c>
      <c r="AB178" s="10">
        <f t="shared" si="20"/>
        <v>0</v>
      </c>
    </row>
    <row r="179" spans="1:28" x14ac:dyDescent="0.2">
      <c r="A179" s="8">
        <v>15900</v>
      </c>
      <c r="B179" s="77" t="str">
        <f t="shared" si="6"/>
        <v>Newcastle</v>
      </c>
      <c r="C179" s="9" t="str">
        <f t="shared" si="7"/>
        <v>Hunter</v>
      </c>
      <c r="D179" s="45" t="str">
        <f t="shared" si="8"/>
        <v>S</v>
      </c>
      <c r="F179" s="10">
        <f t="shared" si="15"/>
        <v>515.65</v>
      </c>
      <c r="G179" s="10">
        <f t="shared" si="15"/>
        <v>0</v>
      </c>
      <c r="H179" s="10">
        <f t="shared" si="15"/>
        <v>515.65</v>
      </c>
      <c r="I179" s="660"/>
      <c r="J179" s="10">
        <f t="shared" si="16"/>
        <v>128.72999999999999</v>
      </c>
      <c r="K179" s="10">
        <f t="shared" si="16"/>
        <v>128.72999999999999</v>
      </c>
      <c r="L179" s="10">
        <f t="shared" si="16"/>
        <v>0</v>
      </c>
      <c r="M179" s="660"/>
      <c r="N179" s="10">
        <f t="shared" si="17"/>
        <v>183.9</v>
      </c>
      <c r="O179" s="10">
        <f t="shared" si="17"/>
        <v>91.95</v>
      </c>
      <c r="P179" s="10">
        <f t="shared" si="17"/>
        <v>91.95</v>
      </c>
      <c r="Q179" s="660"/>
      <c r="R179" s="10">
        <f t="shared" si="18"/>
        <v>128</v>
      </c>
      <c r="S179" s="10">
        <f t="shared" si="18"/>
        <v>64</v>
      </c>
      <c r="T179" s="10">
        <f t="shared" si="18"/>
        <v>64</v>
      </c>
      <c r="U179" s="660"/>
      <c r="V179" s="10">
        <f t="shared" si="19"/>
        <v>882.72</v>
      </c>
      <c r="W179" s="10">
        <f t="shared" si="19"/>
        <v>0</v>
      </c>
      <c r="X179" s="10">
        <f t="shared" si="19"/>
        <v>882.72</v>
      </c>
      <c r="Y179" s="660"/>
      <c r="Z179" s="10">
        <f t="shared" si="20"/>
        <v>0</v>
      </c>
      <c r="AA179" s="10">
        <f t="shared" si="20"/>
        <v>0</v>
      </c>
      <c r="AB179" s="10">
        <f t="shared" si="20"/>
        <v>0</v>
      </c>
    </row>
    <row r="180" spans="1:28" x14ac:dyDescent="0.2">
      <c r="A180" s="8">
        <v>16400</v>
      </c>
      <c r="B180" s="77" t="str">
        <f t="shared" si="6"/>
        <v>Port Stephens</v>
      </c>
      <c r="C180" s="9" t="str">
        <f t="shared" si="7"/>
        <v>Hunter</v>
      </c>
      <c r="D180" s="45" t="str">
        <f t="shared" si="8"/>
        <v>S</v>
      </c>
      <c r="F180" s="10">
        <f t="shared" si="15"/>
        <v>2706.7</v>
      </c>
      <c r="G180" s="10">
        <f t="shared" si="15"/>
        <v>9.9999999999909051E-2</v>
      </c>
      <c r="H180" s="10">
        <f t="shared" si="15"/>
        <v>2706.6</v>
      </c>
      <c r="I180" s="660"/>
      <c r="J180" s="10">
        <f t="shared" si="16"/>
        <v>47.5</v>
      </c>
      <c r="K180" s="10">
        <f t="shared" si="16"/>
        <v>47.5</v>
      </c>
      <c r="L180" s="10">
        <f t="shared" si="16"/>
        <v>0</v>
      </c>
      <c r="M180" s="660"/>
      <c r="N180" s="10">
        <f t="shared" si="17"/>
        <v>153.6</v>
      </c>
      <c r="O180" s="10">
        <f t="shared" si="17"/>
        <v>153.6</v>
      </c>
      <c r="P180" s="10">
        <f t="shared" si="17"/>
        <v>0</v>
      </c>
      <c r="Q180" s="660"/>
      <c r="R180" s="10">
        <f t="shared" si="18"/>
        <v>0</v>
      </c>
      <c r="S180" s="10">
        <f t="shared" si="18"/>
        <v>0</v>
      </c>
      <c r="T180" s="10">
        <f t="shared" si="18"/>
        <v>0</v>
      </c>
      <c r="U180" s="660"/>
      <c r="V180" s="10">
        <f t="shared" si="19"/>
        <v>0</v>
      </c>
      <c r="W180" s="10">
        <f t="shared" si="19"/>
        <v>0</v>
      </c>
      <c r="X180" s="10">
        <f t="shared" si="19"/>
        <v>0</v>
      </c>
      <c r="Y180" s="660"/>
      <c r="Z180" s="10">
        <f t="shared" si="20"/>
        <v>0</v>
      </c>
      <c r="AA180" s="10">
        <f t="shared" si="20"/>
        <v>0</v>
      </c>
      <c r="AB180" s="10">
        <f t="shared" si="20"/>
        <v>0</v>
      </c>
    </row>
    <row r="181" spans="1:28" x14ac:dyDescent="0.2">
      <c r="A181" s="8">
        <v>16900</v>
      </c>
      <c r="B181" s="77" t="str">
        <f t="shared" si="6"/>
        <v>Shellharbour</v>
      </c>
      <c r="C181" s="9" t="str">
        <f t="shared" si="7"/>
        <v>ISJO</v>
      </c>
      <c r="D181" s="45" t="str">
        <f t="shared" si="8"/>
        <v>S</v>
      </c>
      <c r="F181" s="10">
        <f t="shared" si="15"/>
        <v>161</v>
      </c>
      <c r="G181" s="10">
        <f t="shared" si="15"/>
        <v>0</v>
      </c>
      <c r="H181" s="10">
        <f t="shared" si="15"/>
        <v>161</v>
      </c>
      <c r="I181" s="660"/>
      <c r="J181" s="10">
        <f t="shared" si="16"/>
        <v>10</v>
      </c>
      <c r="K181" s="10">
        <f t="shared" si="16"/>
        <v>10</v>
      </c>
      <c r="L181" s="10">
        <f t="shared" si="16"/>
        <v>0</v>
      </c>
      <c r="M181" s="660"/>
      <c r="N181" s="10">
        <f t="shared" si="17"/>
        <v>0</v>
      </c>
      <c r="O181" s="10">
        <f t="shared" si="17"/>
        <v>0</v>
      </c>
      <c r="P181" s="10">
        <f t="shared" si="17"/>
        <v>0</v>
      </c>
      <c r="Q181" s="660"/>
      <c r="R181" s="10">
        <f t="shared" si="18"/>
        <v>0</v>
      </c>
      <c r="S181" s="10">
        <f t="shared" si="18"/>
        <v>0</v>
      </c>
      <c r="T181" s="10">
        <f t="shared" si="18"/>
        <v>0</v>
      </c>
      <c r="U181" s="660"/>
      <c r="V181" s="10">
        <f t="shared" si="19"/>
        <v>0</v>
      </c>
      <c r="W181" s="10">
        <f t="shared" si="19"/>
        <v>0</v>
      </c>
      <c r="X181" s="10">
        <f t="shared" si="19"/>
        <v>0</v>
      </c>
      <c r="Y181" s="660"/>
      <c r="Z181" s="10">
        <f t="shared" si="20"/>
        <v>0</v>
      </c>
      <c r="AA181" s="10">
        <f t="shared" si="20"/>
        <v>0</v>
      </c>
      <c r="AB181" s="10">
        <f t="shared" si="20"/>
        <v>0</v>
      </c>
    </row>
    <row r="182" spans="1:28" x14ac:dyDescent="0.2">
      <c r="A182" s="8">
        <v>16950</v>
      </c>
      <c r="B182" s="77" t="str">
        <f t="shared" si="6"/>
        <v>Shoalhaven</v>
      </c>
      <c r="C182" s="9" t="str">
        <f t="shared" si="7"/>
        <v>ISJO</v>
      </c>
      <c r="D182" s="45" t="str">
        <f t="shared" si="8"/>
        <v>S</v>
      </c>
      <c r="F182" s="10">
        <f t="shared" si="15"/>
        <v>7939.5</v>
      </c>
      <c r="G182" s="10">
        <f t="shared" si="15"/>
        <v>1495.8000000000002</v>
      </c>
      <c r="H182" s="10">
        <f t="shared" si="15"/>
        <v>6443.7</v>
      </c>
      <c r="I182" s="660"/>
      <c r="J182" s="10">
        <f t="shared" si="16"/>
        <v>151.4</v>
      </c>
      <c r="K182" s="10">
        <f t="shared" si="16"/>
        <v>151.4</v>
      </c>
      <c r="L182" s="10">
        <f t="shared" si="16"/>
        <v>0</v>
      </c>
      <c r="M182" s="660"/>
      <c r="N182" s="10">
        <f t="shared" si="17"/>
        <v>479.6</v>
      </c>
      <c r="O182" s="10">
        <f t="shared" si="17"/>
        <v>479.6</v>
      </c>
      <c r="P182" s="10">
        <f t="shared" si="17"/>
        <v>0</v>
      </c>
      <c r="Q182" s="660"/>
      <c r="R182" s="10">
        <f t="shared" si="18"/>
        <v>12.6</v>
      </c>
      <c r="S182" s="10">
        <f t="shared" si="18"/>
        <v>12.6</v>
      </c>
      <c r="T182" s="10">
        <f t="shared" si="18"/>
        <v>0</v>
      </c>
      <c r="U182" s="660"/>
      <c r="V182" s="10">
        <f t="shared" si="19"/>
        <v>355.7</v>
      </c>
      <c r="W182" s="10">
        <f t="shared" si="19"/>
        <v>355.7</v>
      </c>
      <c r="X182" s="10">
        <f t="shared" si="19"/>
        <v>0</v>
      </c>
      <c r="Y182" s="660"/>
      <c r="Z182" s="10">
        <f t="shared" si="20"/>
        <v>6632.6</v>
      </c>
      <c r="AA182" s="10">
        <f t="shared" si="20"/>
        <v>6632.6</v>
      </c>
      <c r="AB182" s="10">
        <f t="shared" si="20"/>
        <v>0</v>
      </c>
    </row>
    <row r="183" spans="1:28" x14ac:dyDescent="0.2">
      <c r="A183" s="8">
        <v>18350</v>
      </c>
      <c r="B183" s="77" t="str">
        <f t="shared" si="6"/>
        <v>Wingecarribee</v>
      </c>
      <c r="C183" s="9" t="str">
        <f t="shared" si="7"/>
        <v>CRJO</v>
      </c>
      <c r="D183" s="45" t="str">
        <f t="shared" si="8"/>
        <v>S</v>
      </c>
      <c r="F183" s="10">
        <f t="shared" si="15"/>
        <v>999</v>
      </c>
      <c r="G183" s="10">
        <f t="shared" si="15"/>
        <v>0</v>
      </c>
      <c r="H183" s="10">
        <f t="shared" si="15"/>
        <v>999</v>
      </c>
      <c r="I183" s="660"/>
      <c r="J183" s="10">
        <f t="shared" si="16"/>
        <v>38</v>
      </c>
      <c r="K183" s="10">
        <f t="shared" si="16"/>
        <v>0</v>
      </c>
      <c r="L183" s="10">
        <f t="shared" si="16"/>
        <v>38</v>
      </c>
      <c r="M183" s="660"/>
      <c r="N183" s="10">
        <f t="shared" si="17"/>
        <v>224</v>
      </c>
      <c r="O183" s="10">
        <f t="shared" si="17"/>
        <v>0</v>
      </c>
      <c r="P183" s="10">
        <f t="shared" si="17"/>
        <v>224</v>
      </c>
      <c r="Q183" s="660"/>
      <c r="R183" s="10">
        <f t="shared" si="18"/>
        <v>47.5</v>
      </c>
      <c r="S183" s="10">
        <f t="shared" si="18"/>
        <v>0</v>
      </c>
      <c r="T183" s="10">
        <f t="shared" si="18"/>
        <v>47.5</v>
      </c>
      <c r="U183" s="660"/>
      <c r="V183" s="10">
        <f t="shared" si="19"/>
        <v>0</v>
      </c>
      <c r="W183" s="10">
        <f t="shared" si="19"/>
        <v>0</v>
      </c>
      <c r="X183" s="10">
        <f t="shared" si="19"/>
        <v>0</v>
      </c>
      <c r="Y183" s="660"/>
      <c r="Z183" s="10">
        <f t="shared" si="20"/>
        <v>0</v>
      </c>
      <c r="AA183" s="10">
        <f t="shared" si="20"/>
        <v>0</v>
      </c>
      <c r="AB183" s="10">
        <f t="shared" si="20"/>
        <v>0</v>
      </c>
    </row>
    <row r="184" spans="1:28" ht="13.5" thickBot="1" x14ac:dyDescent="0.25">
      <c r="A184" s="8">
        <v>18450</v>
      </c>
      <c r="B184" s="77" t="str">
        <f t="shared" si="6"/>
        <v>Wollongong</v>
      </c>
      <c r="C184" s="9" t="str">
        <f t="shared" si="7"/>
        <v>ISJO</v>
      </c>
      <c r="D184" s="45" t="str">
        <f t="shared" si="8"/>
        <v>S</v>
      </c>
      <c r="F184" s="10">
        <v>3521.7</v>
      </c>
      <c r="G184" s="10">
        <v>0</v>
      </c>
      <c r="H184" s="10">
        <v>3521.7</v>
      </c>
      <c r="I184" s="660"/>
      <c r="J184" s="10">
        <v>542.85</v>
      </c>
      <c r="K184" s="10">
        <v>542.85</v>
      </c>
      <c r="L184" s="10">
        <v>0</v>
      </c>
      <c r="M184" s="660"/>
      <c r="N184" s="10">
        <v>387.92</v>
      </c>
      <c r="O184" s="10">
        <v>387.92</v>
      </c>
      <c r="P184" s="10">
        <v>0</v>
      </c>
      <c r="Q184" s="660"/>
      <c r="R184" s="10">
        <v>85.82</v>
      </c>
      <c r="S184" s="10">
        <v>85.82</v>
      </c>
      <c r="T184" s="10">
        <v>0</v>
      </c>
      <c r="U184" s="660"/>
      <c r="V184" s="10">
        <v>44.7</v>
      </c>
      <c r="W184" s="10">
        <v>44.7</v>
      </c>
      <c r="X184" s="10">
        <v>0</v>
      </c>
      <c r="Y184" s="660"/>
      <c r="Z184" s="10">
        <v>0</v>
      </c>
      <c r="AA184" s="10">
        <v>0</v>
      </c>
      <c r="AB184" s="10">
        <v>0</v>
      </c>
    </row>
    <row r="185" spans="1:28" ht="13.5" thickTop="1" x14ac:dyDescent="0.2">
      <c r="A185" s="11"/>
      <c r="B185" s="11"/>
      <c r="C185" s="11" t="s">
        <v>26</v>
      </c>
      <c r="D185" s="11"/>
      <c r="F185" s="13">
        <f>COUNTIF(F143:F184,"&gt;0")</f>
        <v>35</v>
      </c>
      <c r="G185" s="13">
        <f t="shared" ref="G185:AB185" si="21">COUNTIF(G143:G184,"&gt;0")</f>
        <v>17</v>
      </c>
      <c r="H185" s="13">
        <f t="shared" si="21"/>
        <v>35</v>
      </c>
      <c r="I185" s="661"/>
      <c r="J185" s="13">
        <f t="shared" si="21"/>
        <v>27</v>
      </c>
      <c r="K185" s="13">
        <f t="shared" si="21"/>
        <v>25</v>
      </c>
      <c r="L185" s="13">
        <f t="shared" si="21"/>
        <v>9</v>
      </c>
      <c r="M185" s="661"/>
      <c r="N185" s="13">
        <f t="shared" si="21"/>
        <v>16</v>
      </c>
      <c r="O185" s="13">
        <f t="shared" si="21"/>
        <v>15</v>
      </c>
      <c r="P185" s="13">
        <f t="shared" si="21"/>
        <v>3</v>
      </c>
      <c r="Q185" s="661"/>
      <c r="R185" s="13">
        <f t="shared" si="21"/>
        <v>11</v>
      </c>
      <c r="S185" s="13">
        <f t="shared" si="21"/>
        <v>10</v>
      </c>
      <c r="T185" s="13">
        <f t="shared" si="21"/>
        <v>2</v>
      </c>
      <c r="U185" s="661"/>
      <c r="V185" s="13">
        <f t="shared" si="21"/>
        <v>9</v>
      </c>
      <c r="W185" s="13">
        <f t="shared" si="21"/>
        <v>6</v>
      </c>
      <c r="X185" s="13">
        <f t="shared" si="21"/>
        <v>3</v>
      </c>
      <c r="Y185" s="661"/>
      <c r="Z185" s="13">
        <f t="shared" si="21"/>
        <v>10</v>
      </c>
      <c r="AA185" s="13">
        <f t="shared" si="21"/>
        <v>10</v>
      </c>
      <c r="AB185" s="13">
        <f t="shared" si="21"/>
        <v>1</v>
      </c>
    </row>
    <row r="186" spans="1:28" x14ac:dyDescent="0.2">
      <c r="A186" s="8"/>
      <c r="B186" s="14" t="s">
        <v>458</v>
      </c>
      <c r="C186" s="8" t="s">
        <v>27</v>
      </c>
      <c r="D186" s="8"/>
      <c r="F186" s="15">
        <f>SUM(F143:F184)</f>
        <v>159796.45000000004</v>
      </c>
      <c r="G186" s="15">
        <f t="shared" ref="G186:AB186" si="22">SUM(G143:G184)</f>
        <v>29067.719999999998</v>
      </c>
      <c r="H186" s="15">
        <f t="shared" si="22"/>
        <v>130728.72999999998</v>
      </c>
      <c r="I186" s="662"/>
      <c r="J186" s="15">
        <f t="shared" si="22"/>
        <v>8523.0299999999988</v>
      </c>
      <c r="K186" s="15">
        <f t="shared" si="22"/>
        <v>7624.1099999999988</v>
      </c>
      <c r="L186" s="15">
        <f t="shared" si="22"/>
        <v>898.92</v>
      </c>
      <c r="M186" s="662"/>
      <c r="N186" s="15">
        <f t="shared" si="22"/>
        <v>7464.6100000000006</v>
      </c>
      <c r="O186" s="15">
        <f t="shared" si="22"/>
        <v>7128.6600000000008</v>
      </c>
      <c r="P186" s="15">
        <f t="shared" si="22"/>
        <v>335.95</v>
      </c>
      <c r="Q186" s="662"/>
      <c r="R186" s="15">
        <f t="shared" si="22"/>
        <v>633.76</v>
      </c>
      <c r="S186" s="15">
        <f t="shared" si="22"/>
        <v>522.26</v>
      </c>
      <c r="T186" s="15">
        <f t="shared" si="22"/>
        <v>111.5</v>
      </c>
      <c r="U186" s="662"/>
      <c r="V186" s="15">
        <f t="shared" si="22"/>
        <v>1739.2400000000002</v>
      </c>
      <c r="W186" s="15">
        <f t="shared" si="22"/>
        <v>723</v>
      </c>
      <c r="X186" s="15">
        <f t="shared" si="22"/>
        <v>1016.24</v>
      </c>
      <c r="Y186" s="662"/>
      <c r="Z186" s="15">
        <f t="shared" si="22"/>
        <v>12693.130000000001</v>
      </c>
      <c r="AA186" s="15">
        <f t="shared" si="22"/>
        <v>12692.619999999999</v>
      </c>
      <c r="AB186" s="15">
        <f t="shared" si="22"/>
        <v>0.51</v>
      </c>
    </row>
    <row r="187" spans="1:28" x14ac:dyDescent="0.2">
      <c r="A187" s="8"/>
      <c r="B187" s="14"/>
      <c r="C187" s="8" t="s">
        <v>28</v>
      </c>
      <c r="D187" s="8"/>
      <c r="F187" s="10">
        <f>MIN(F143:F184)</f>
        <v>0</v>
      </c>
      <c r="G187" s="10">
        <f t="shared" ref="G187:AB187" si="23">MIN(G143:G184)</f>
        <v>0</v>
      </c>
      <c r="H187" s="10">
        <f t="shared" si="23"/>
        <v>0</v>
      </c>
      <c r="I187" s="660"/>
      <c r="J187" s="10">
        <f t="shared" si="23"/>
        <v>0</v>
      </c>
      <c r="K187" s="10">
        <f t="shared" si="23"/>
        <v>0</v>
      </c>
      <c r="L187" s="10">
        <f t="shared" si="23"/>
        <v>0</v>
      </c>
      <c r="M187" s="660"/>
      <c r="N187" s="10">
        <f t="shared" si="23"/>
        <v>0</v>
      </c>
      <c r="O187" s="10">
        <f t="shared" si="23"/>
        <v>0</v>
      </c>
      <c r="P187" s="10">
        <f t="shared" si="23"/>
        <v>0</v>
      </c>
      <c r="Q187" s="660"/>
      <c r="R187" s="10">
        <f t="shared" si="23"/>
        <v>0</v>
      </c>
      <c r="S187" s="10">
        <f t="shared" si="23"/>
        <v>0</v>
      </c>
      <c r="T187" s="10">
        <f t="shared" si="23"/>
        <v>0</v>
      </c>
      <c r="U187" s="660"/>
      <c r="V187" s="10">
        <f t="shared" si="23"/>
        <v>0</v>
      </c>
      <c r="W187" s="10">
        <f t="shared" si="23"/>
        <v>0</v>
      </c>
      <c r="X187" s="10">
        <f t="shared" si="23"/>
        <v>0</v>
      </c>
      <c r="Y187" s="660"/>
      <c r="Z187" s="10">
        <f t="shared" si="23"/>
        <v>0</v>
      </c>
      <c r="AA187" s="10">
        <f t="shared" si="23"/>
        <v>0</v>
      </c>
      <c r="AB187" s="10">
        <f t="shared" si="23"/>
        <v>0</v>
      </c>
    </row>
    <row r="188" spans="1:28" x14ac:dyDescent="0.2">
      <c r="A188" s="8"/>
      <c r="B188" s="14"/>
      <c r="C188" s="8" t="s">
        <v>29</v>
      </c>
      <c r="D188" s="8"/>
      <c r="F188" s="10">
        <f>MAX(F143:F184)</f>
        <v>22456</v>
      </c>
      <c r="G188" s="10">
        <f t="shared" ref="G188:AB188" si="24">MAX(G143:G184)</f>
        <v>6781</v>
      </c>
      <c r="H188" s="10">
        <f t="shared" si="24"/>
        <v>22456</v>
      </c>
      <c r="I188" s="660"/>
      <c r="J188" s="10">
        <f t="shared" si="24"/>
        <v>2364</v>
      </c>
      <c r="K188" s="10">
        <f t="shared" si="24"/>
        <v>2364</v>
      </c>
      <c r="L188" s="10">
        <f t="shared" si="24"/>
        <v>306.77</v>
      </c>
      <c r="M188" s="660"/>
      <c r="N188" s="10">
        <f t="shared" si="24"/>
        <v>1782</v>
      </c>
      <c r="O188" s="10">
        <f t="shared" si="24"/>
        <v>1782</v>
      </c>
      <c r="P188" s="10">
        <f t="shared" si="24"/>
        <v>224</v>
      </c>
      <c r="Q188" s="660"/>
      <c r="R188" s="10">
        <f t="shared" si="24"/>
        <v>168</v>
      </c>
      <c r="S188" s="10">
        <f t="shared" si="24"/>
        <v>168</v>
      </c>
      <c r="T188" s="10">
        <f t="shared" si="24"/>
        <v>64</v>
      </c>
      <c r="U188" s="660"/>
      <c r="V188" s="10">
        <f t="shared" si="24"/>
        <v>882.72</v>
      </c>
      <c r="W188" s="10">
        <f t="shared" si="24"/>
        <v>355.7</v>
      </c>
      <c r="X188" s="10">
        <f t="shared" si="24"/>
        <v>882.72</v>
      </c>
      <c r="Y188" s="660"/>
      <c r="Z188" s="10">
        <f t="shared" si="24"/>
        <v>6632.6</v>
      </c>
      <c r="AA188" s="10">
        <f t="shared" si="24"/>
        <v>6632.6</v>
      </c>
      <c r="AB188" s="10">
        <f t="shared" si="24"/>
        <v>0.51</v>
      </c>
    </row>
    <row r="189" spans="1:28" x14ac:dyDescent="0.2">
      <c r="A189" s="8"/>
      <c r="B189" s="14"/>
      <c r="C189" s="8" t="s">
        <v>30</v>
      </c>
      <c r="D189" s="8"/>
      <c r="F189" s="10">
        <f>AVERAGE(F143:F184)</f>
        <v>3804.677380952382</v>
      </c>
      <c r="G189" s="10">
        <f t="shared" ref="G189:AB189" si="25">AVERAGE(G143:G184)</f>
        <v>692.08857142857141</v>
      </c>
      <c r="H189" s="10">
        <f t="shared" si="25"/>
        <v>3112.5888095238092</v>
      </c>
      <c r="I189" s="660"/>
      <c r="J189" s="10">
        <f t="shared" si="25"/>
        <v>202.9292857142857</v>
      </c>
      <c r="K189" s="10">
        <f t="shared" si="25"/>
        <v>181.52642857142854</v>
      </c>
      <c r="L189" s="10">
        <f t="shared" si="25"/>
        <v>21.40285714285714</v>
      </c>
      <c r="M189" s="660"/>
      <c r="N189" s="10">
        <f t="shared" si="25"/>
        <v>182.06365853658539</v>
      </c>
      <c r="O189" s="10">
        <f t="shared" si="25"/>
        <v>169.73000000000002</v>
      </c>
      <c r="P189" s="10">
        <f t="shared" si="25"/>
        <v>7.9988095238095234</v>
      </c>
      <c r="Q189" s="660"/>
      <c r="R189" s="10">
        <f t="shared" si="25"/>
        <v>15.457560975609756</v>
      </c>
      <c r="S189" s="10">
        <f t="shared" si="25"/>
        <v>12.434761904761904</v>
      </c>
      <c r="T189" s="10">
        <f t="shared" si="25"/>
        <v>2.6547619047619047</v>
      </c>
      <c r="U189" s="660"/>
      <c r="V189" s="10">
        <f t="shared" si="25"/>
        <v>41.410476190476196</v>
      </c>
      <c r="W189" s="10">
        <f t="shared" si="25"/>
        <v>17.214285714285715</v>
      </c>
      <c r="X189" s="10">
        <f t="shared" si="25"/>
        <v>24.196190476190477</v>
      </c>
      <c r="Y189" s="660"/>
      <c r="Z189" s="10">
        <f t="shared" si="25"/>
        <v>302.21738095238095</v>
      </c>
      <c r="AA189" s="10">
        <f t="shared" si="25"/>
        <v>302.20523809523809</v>
      </c>
      <c r="AB189" s="10">
        <f t="shared" si="25"/>
        <v>1.2142857142857143E-2</v>
      </c>
    </row>
    <row r="190" spans="1:28" ht="13.5" thickBot="1" x14ac:dyDescent="0.25">
      <c r="A190" s="16"/>
      <c r="B190" s="17"/>
      <c r="C190" s="16" t="s">
        <v>31</v>
      </c>
      <c r="D190" s="16"/>
      <c r="F190" s="18">
        <f>MEDIAN(F143:F184)</f>
        <v>2072</v>
      </c>
      <c r="G190" s="18">
        <f t="shared" ref="G190:AB190" si="26">MEDIAN(G143:G184)</f>
        <v>0</v>
      </c>
      <c r="H190" s="18">
        <f t="shared" si="26"/>
        <v>1073.25</v>
      </c>
      <c r="I190" s="663"/>
      <c r="J190" s="18">
        <f t="shared" si="26"/>
        <v>43.75</v>
      </c>
      <c r="K190" s="18">
        <f t="shared" si="26"/>
        <v>33.950000000000003</v>
      </c>
      <c r="L190" s="18">
        <f t="shared" si="26"/>
        <v>0</v>
      </c>
      <c r="M190" s="663"/>
      <c r="N190" s="18">
        <f t="shared" si="26"/>
        <v>0</v>
      </c>
      <c r="O190" s="18">
        <f t="shared" si="26"/>
        <v>0</v>
      </c>
      <c r="P190" s="18">
        <f t="shared" si="26"/>
        <v>0</v>
      </c>
      <c r="Q190" s="663"/>
      <c r="R190" s="18">
        <f t="shared" si="26"/>
        <v>0</v>
      </c>
      <c r="S190" s="18">
        <f t="shared" si="26"/>
        <v>0</v>
      </c>
      <c r="T190" s="18">
        <f t="shared" si="26"/>
        <v>0</v>
      </c>
      <c r="U190" s="663"/>
      <c r="V190" s="18">
        <f t="shared" si="26"/>
        <v>0</v>
      </c>
      <c r="W190" s="18">
        <f t="shared" si="26"/>
        <v>0</v>
      </c>
      <c r="X190" s="18">
        <f t="shared" si="26"/>
        <v>0</v>
      </c>
      <c r="Y190" s="663"/>
      <c r="Z190" s="18">
        <f t="shared" si="26"/>
        <v>0</v>
      </c>
      <c r="AA190" s="18">
        <f t="shared" si="26"/>
        <v>0</v>
      </c>
      <c r="AB190" s="18">
        <f t="shared" si="26"/>
        <v>0</v>
      </c>
    </row>
    <row r="191" spans="1:28" ht="13.5" thickTop="1" x14ac:dyDescent="0.2"/>
    <row r="193" spans="1:28" ht="15.75" x14ac:dyDescent="0.25">
      <c r="B193" s="74" t="s">
        <v>460</v>
      </c>
      <c r="C193" s="75"/>
      <c r="D193" s="75"/>
      <c r="E193" s="76"/>
      <c r="F193">
        <v>6</v>
      </c>
      <c r="G193">
        <v>7</v>
      </c>
      <c r="H193">
        <v>8</v>
      </c>
      <c r="J193">
        <v>10</v>
      </c>
      <c r="K193">
        <v>11</v>
      </c>
      <c r="L193">
        <v>12</v>
      </c>
      <c r="N193">
        <v>14</v>
      </c>
      <c r="O193">
        <v>15</v>
      </c>
      <c r="P193">
        <v>16</v>
      </c>
      <c r="R193">
        <v>18</v>
      </c>
      <c r="S193">
        <v>19</v>
      </c>
      <c r="T193">
        <v>20</v>
      </c>
      <c r="V193">
        <v>22</v>
      </c>
      <c r="W193">
        <v>23</v>
      </c>
      <c r="X193">
        <v>24</v>
      </c>
      <c r="Z193">
        <v>26</v>
      </c>
      <c r="AA193">
        <v>27</v>
      </c>
      <c r="AB193">
        <v>28</v>
      </c>
    </row>
    <row r="194" spans="1:28" x14ac:dyDescent="0.2">
      <c r="A194" s="8">
        <v>10250</v>
      </c>
      <c r="B194" s="77" t="str">
        <f t="shared" ref="B194:B212" si="27">VLOOKUP($A194,$A$8:$I$135,2,FALSE)</f>
        <v>Ballina</v>
      </c>
      <c r="C194" s="9" t="str">
        <f t="shared" ref="C194:C212" si="28">VLOOKUP($A194,$A$8:$I$136,3,FALSE)</f>
        <v>NEWF</v>
      </c>
      <c r="D194" s="45" t="str">
        <f t="shared" ref="D194:D212" si="29">VLOOKUP($A194,$A$8:$I$136,4,FALSE)</f>
        <v>R</v>
      </c>
      <c r="E194" s="10" t="str">
        <f t="shared" ref="E194:E212" si="30">VLOOKUP($A194,$A$8:$AV$135,5,FALSE)</f>
        <v>NRJO</v>
      </c>
      <c r="F194" s="10">
        <f t="shared" ref="F194:H212" si="31">VLOOKUP($A194,$A$3:$AX$130,F$193,FALSE)</f>
        <v>0</v>
      </c>
      <c r="G194" s="10">
        <f t="shared" si="31"/>
        <v>0</v>
      </c>
      <c r="H194" s="10">
        <f t="shared" si="31"/>
        <v>0</v>
      </c>
      <c r="I194" s="660"/>
      <c r="J194" s="10">
        <f t="shared" ref="J194:L212" si="32">VLOOKUP($A194,$A$3:$AX$130,J$193,FALSE)</f>
        <v>0</v>
      </c>
      <c r="K194" s="10">
        <f t="shared" si="32"/>
        <v>0</v>
      </c>
      <c r="L194" s="10">
        <f t="shared" si="32"/>
        <v>0</v>
      </c>
      <c r="M194" s="660"/>
      <c r="N194" s="10">
        <f t="shared" ref="N194:P212" si="33">VLOOKUP($A194,$A$3:$AX$130,N$193,FALSE)</f>
        <v>0</v>
      </c>
      <c r="O194" s="10">
        <f t="shared" si="33"/>
        <v>0</v>
      </c>
      <c r="P194" s="10">
        <f t="shared" si="33"/>
        <v>0</v>
      </c>
      <c r="Q194" s="660"/>
      <c r="R194" s="10">
        <f t="shared" ref="R194:T212" si="34">VLOOKUP($A194,$A$3:$AX$130,R$193,FALSE)</f>
        <v>0</v>
      </c>
      <c r="S194" s="10">
        <f t="shared" si="34"/>
        <v>0</v>
      </c>
      <c r="T194" s="10">
        <f t="shared" si="34"/>
        <v>0</v>
      </c>
      <c r="U194" s="660"/>
      <c r="V194" s="10">
        <f t="shared" ref="V194:X212" si="35">VLOOKUP($A194,$A$3:$AX$130,V$193,FALSE)</f>
        <v>0</v>
      </c>
      <c r="W194" s="10">
        <f t="shared" si="35"/>
        <v>0</v>
      </c>
      <c r="X194" s="10">
        <f t="shared" si="35"/>
        <v>0</v>
      </c>
      <c r="Y194" s="660"/>
      <c r="Z194" s="10">
        <f t="shared" ref="Z194:AB212" si="36">VLOOKUP($A194,$A$3:$AX$130,Z$193,FALSE)</f>
        <v>0</v>
      </c>
      <c r="AA194" s="10">
        <f t="shared" si="36"/>
        <v>0</v>
      </c>
      <c r="AB194" s="10">
        <f t="shared" si="36"/>
        <v>0</v>
      </c>
    </row>
    <row r="195" spans="1:28" x14ac:dyDescent="0.2">
      <c r="A195" s="8">
        <v>10600</v>
      </c>
      <c r="B195" s="77" t="str">
        <f t="shared" si="27"/>
        <v>Bellingen</v>
      </c>
      <c r="C195" s="9" t="str">
        <f t="shared" si="28"/>
        <v>MidWaste</v>
      </c>
      <c r="D195" s="45" t="str">
        <f t="shared" si="29"/>
        <v>R</v>
      </c>
      <c r="E195" s="10" t="str">
        <f t="shared" si="30"/>
        <v>MNCJO</v>
      </c>
      <c r="F195" s="10">
        <f t="shared" si="31"/>
        <v>126.34</v>
      </c>
      <c r="G195" s="10">
        <f t="shared" si="31"/>
        <v>0</v>
      </c>
      <c r="H195" s="10">
        <f t="shared" si="31"/>
        <v>126.34</v>
      </c>
      <c r="I195" s="660"/>
      <c r="J195" s="10">
        <f t="shared" si="32"/>
        <v>0</v>
      </c>
      <c r="K195" s="10">
        <f t="shared" si="32"/>
        <v>0</v>
      </c>
      <c r="L195" s="10">
        <f t="shared" si="32"/>
        <v>0</v>
      </c>
      <c r="M195" s="660"/>
      <c r="N195" s="10">
        <f t="shared" si="33"/>
        <v>28.66</v>
      </c>
      <c r="O195" s="10">
        <f t="shared" si="33"/>
        <v>28.66</v>
      </c>
      <c r="P195" s="10">
        <f t="shared" si="33"/>
        <v>0</v>
      </c>
      <c r="Q195" s="660"/>
      <c r="R195" s="10">
        <f t="shared" si="34"/>
        <v>0</v>
      </c>
      <c r="S195" s="10">
        <f t="shared" si="34"/>
        <v>0</v>
      </c>
      <c r="T195" s="10">
        <f t="shared" si="34"/>
        <v>0</v>
      </c>
      <c r="U195" s="660"/>
      <c r="V195" s="10">
        <f t="shared" si="35"/>
        <v>0</v>
      </c>
      <c r="W195" s="10">
        <f t="shared" si="35"/>
        <v>0</v>
      </c>
      <c r="X195" s="10">
        <f t="shared" si="35"/>
        <v>0</v>
      </c>
      <c r="Y195" s="660"/>
      <c r="Z195" s="10">
        <f t="shared" si="36"/>
        <v>0</v>
      </c>
      <c r="AA195" s="10">
        <f t="shared" si="36"/>
        <v>0</v>
      </c>
      <c r="AB195" s="10">
        <f t="shared" si="36"/>
        <v>0</v>
      </c>
    </row>
    <row r="196" spans="1:28" x14ac:dyDescent="0.2">
      <c r="A196" s="8">
        <v>10900</v>
      </c>
      <c r="B196" s="77" t="str">
        <f t="shared" si="27"/>
        <v>Blue Mountains</v>
      </c>
      <c r="C196" s="9" t="str">
        <f t="shared" si="28"/>
        <v>WSROC</v>
      </c>
      <c r="D196" s="45" t="str">
        <f t="shared" si="29"/>
        <v>R</v>
      </c>
      <c r="E196" s="10">
        <f t="shared" si="30"/>
        <v>0</v>
      </c>
      <c r="F196" s="10">
        <f t="shared" si="31"/>
        <v>1707</v>
      </c>
      <c r="G196" s="10">
        <f t="shared" si="31"/>
        <v>986.2</v>
      </c>
      <c r="H196" s="10">
        <f t="shared" si="31"/>
        <v>720.8</v>
      </c>
      <c r="I196" s="660"/>
      <c r="J196" s="10">
        <f t="shared" si="32"/>
        <v>0</v>
      </c>
      <c r="K196" s="10">
        <f t="shared" si="32"/>
        <v>0</v>
      </c>
      <c r="L196" s="10">
        <f t="shared" si="32"/>
        <v>0</v>
      </c>
      <c r="M196" s="660"/>
      <c r="N196" s="10">
        <f t="shared" si="33"/>
        <v>0</v>
      </c>
      <c r="O196" s="10">
        <f t="shared" si="33"/>
        <v>0</v>
      </c>
      <c r="P196" s="10">
        <f t="shared" si="33"/>
        <v>0</v>
      </c>
      <c r="Q196" s="660"/>
      <c r="R196" s="10">
        <f t="shared" si="34"/>
        <v>0</v>
      </c>
      <c r="S196" s="10">
        <f t="shared" si="34"/>
        <v>0</v>
      </c>
      <c r="T196" s="10">
        <f t="shared" si="34"/>
        <v>0</v>
      </c>
      <c r="U196" s="660"/>
      <c r="V196" s="10">
        <f t="shared" si="35"/>
        <v>0</v>
      </c>
      <c r="W196" s="10">
        <f t="shared" si="35"/>
        <v>0</v>
      </c>
      <c r="X196" s="10">
        <f t="shared" si="35"/>
        <v>0</v>
      </c>
      <c r="Y196" s="660"/>
      <c r="Z196" s="10">
        <f t="shared" si="36"/>
        <v>145</v>
      </c>
      <c r="AA196" s="10">
        <f t="shared" si="36"/>
        <v>145</v>
      </c>
      <c r="AB196" s="10">
        <f t="shared" si="36"/>
        <v>0</v>
      </c>
    </row>
    <row r="197" spans="1:28" x14ac:dyDescent="0.2">
      <c r="A197" s="8">
        <v>11350</v>
      </c>
      <c r="B197" s="77" t="str">
        <f t="shared" si="27"/>
        <v>Byron</v>
      </c>
      <c r="C197" s="9" t="str">
        <f t="shared" si="28"/>
        <v>NEWF</v>
      </c>
      <c r="D197" s="45" t="str">
        <f t="shared" si="29"/>
        <v>R</v>
      </c>
      <c r="E197" s="10" t="str">
        <f t="shared" si="30"/>
        <v>NRJO</v>
      </c>
      <c r="F197" s="10">
        <f t="shared" si="31"/>
        <v>1095.8699999999999</v>
      </c>
      <c r="G197" s="10">
        <f t="shared" si="31"/>
        <v>0</v>
      </c>
      <c r="H197" s="10">
        <f t="shared" si="31"/>
        <v>1095.8699999999999</v>
      </c>
      <c r="I197" s="660"/>
      <c r="J197" s="10">
        <f t="shared" si="32"/>
        <v>0</v>
      </c>
      <c r="K197" s="10">
        <f t="shared" si="32"/>
        <v>0</v>
      </c>
      <c r="L197" s="10">
        <f t="shared" si="32"/>
        <v>0</v>
      </c>
      <c r="M197" s="660"/>
      <c r="N197" s="10">
        <f t="shared" si="33"/>
        <v>0</v>
      </c>
      <c r="O197" s="10">
        <f t="shared" si="33"/>
        <v>0</v>
      </c>
      <c r="P197" s="10">
        <f t="shared" si="33"/>
        <v>0</v>
      </c>
      <c r="Q197" s="660"/>
      <c r="R197" s="10">
        <f t="shared" si="34"/>
        <v>0</v>
      </c>
      <c r="S197" s="10">
        <f t="shared" si="34"/>
        <v>0</v>
      </c>
      <c r="T197" s="10">
        <f t="shared" si="34"/>
        <v>0</v>
      </c>
      <c r="U197" s="660"/>
      <c r="V197" s="10">
        <f t="shared" si="35"/>
        <v>0</v>
      </c>
      <c r="W197" s="10">
        <f t="shared" si="35"/>
        <v>0</v>
      </c>
      <c r="X197" s="10">
        <f t="shared" si="35"/>
        <v>0</v>
      </c>
      <c r="Y197" s="660"/>
      <c r="Z197" s="10">
        <f t="shared" si="36"/>
        <v>462.14</v>
      </c>
      <c r="AA197" s="10">
        <f t="shared" si="36"/>
        <v>462.14</v>
      </c>
      <c r="AB197" s="10">
        <f t="shared" si="36"/>
        <v>0</v>
      </c>
    </row>
    <row r="198" spans="1:28" x14ac:dyDescent="0.2">
      <c r="A198" s="8">
        <v>11730</v>
      </c>
      <c r="B198" s="77" t="str">
        <f t="shared" si="27"/>
        <v>Clarence Valley</v>
      </c>
      <c r="C198" s="9" t="str">
        <f t="shared" si="28"/>
        <v>NEWF</v>
      </c>
      <c r="D198" s="45" t="str">
        <f t="shared" si="29"/>
        <v>R</v>
      </c>
      <c r="E198" s="10">
        <f t="shared" si="30"/>
        <v>0</v>
      </c>
      <c r="F198" s="10">
        <f t="shared" si="31"/>
        <v>0</v>
      </c>
      <c r="G198" s="10">
        <f t="shared" si="31"/>
        <v>0</v>
      </c>
      <c r="H198" s="10">
        <f t="shared" si="31"/>
        <v>0</v>
      </c>
      <c r="I198" s="660"/>
      <c r="J198" s="10">
        <f t="shared" si="32"/>
        <v>0</v>
      </c>
      <c r="K198" s="10">
        <f t="shared" si="32"/>
        <v>0</v>
      </c>
      <c r="L198" s="10">
        <f t="shared" si="32"/>
        <v>0</v>
      </c>
      <c r="M198" s="660"/>
      <c r="N198" s="10">
        <f t="shared" si="33"/>
        <v>0</v>
      </c>
      <c r="O198" s="10">
        <f t="shared" si="33"/>
        <v>0</v>
      </c>
      <c r="P198" s="10">
        <f t="shared" si="33"/>
        <v>0</v>
      </c>
      <c r="Q198" s="660"/>
      <c r="R198" s="10">
        <f t="shared" si="34"/>
        <v>0</v>
      </c>
      <c r="S198" s="10">
        <f t="shared" si="34"/>
        <v>0</v>
      </c>
      <c r="T198" s="10">
        <f t="shared" si="34"/>
        <v>0</v>
      </c>
      <c r="U198" s="660"/>
      <c r="V198" s="10">
        <f t="shared" si="35"/>
        <v>0</v>
      </c>
      <c r="W198" s="10">
        <f t="shared" si="35"/>
        <v>0</v>
      </c>
      <c r="X198" s="10">
        <f t="shared" si="35"/>
        <v>0</v>
      </c>
      <c r="Y198" s="660"/>
      <c r="Z198" s="10">
        <f t="shared" si="36"/>
        <v>0</v>
      </c>
      <c r="AA198" s="10">
        <f t="shared" si="36"/>
        <v>0</v>
      </c>
      <c r="AB198" s="10">
        <f t="shared" si="36"/>
        <v>0</v>
      </c>
    </row>
    <row r="199" spans="1:28" x14ac:dyDescent="0.2">
      <c r="A199" s="8">
        <v>11800</v>
      </c>
      <c r="B199" s="77" t="str">
        <f t="shared" si="27"/>
        <v>Coffs Harbour</v>
      </c>
      <c r="C199" s="9" t="str">
        <f t="shared" si="28"/>
        <v>MidWaste</v>
      </c>
      <c r="D199" s="45" t="str">
        <f t="shared" si="29"/>
        <v>R</v>
      </c>
      <c r="E199" s="10">
        <f t="shared" si="30"/>
        <v>0</v>
      </c>
      <c r="F199" s="10">
        <f t="shared" si="31"/>
        <v>1063.05</v>
      </c>
      <c r="G199" s="10">
        <f t="shared" si="31"/>
        <v>0</v>
      </c>
      <c r="H199" s="10">
        <f t="shared" si="31"/>
        <v>1063.05</v>
      </c>
      <c r="I199" s="660"/>
      <c r="J199" s="10">
        <f t="shared" si="32"/>
        <v>67.56</v>
      </c>
      <c r="K199" s="10">
        <f t="shared" si="32"/>
        <v>67.56</v>
      </c>
      <c r="L199" s="10">
        <f t="shared" si="32"/>
        <v>0</v>
      </c>
      <c r="M199" s="660"/>
      <c r="N199" s="10">
        <f t="shared" si="33"/>
        <v>0</v>
      </c>
      <c r="O199" s="10">
        <f t="shared" si="33"/>
        <v>0</v>
      </c>
      <c r="P199" s="10">
        <f t="shared" si="33"/>
        <v>0</v>
      </c>
      <c r="Q199" s="660"/>
      <c r="R199" s="10">
        <f t="shared" si="34"/>
        <v>0</v>
      </c>
      <c r="S199" s="10">
        <f t="shared" si="34"/>
        <v>0</v>
      </c>
      <c r="T199" s="10">
        <f t="shared" si="34"/>
        <v>0</v>
      </c>
      <c r="U199" s="660"/>
      <c r="V199" s="10">
        <f t="shared" si="35"/>
        <v>0</v>
      </c>
      <c r="W199" s="10">
        <f t="shared" si="35"/>
        <v>0</v>
      </c>
      <c r="X199" s="10">
        <f t="shared" si="35"/>
        <v>0</v>
      </c>
      <c r="Y199" s="660"/>
      <c r="Z199" s="10">
        <f t="shared" si="36"/>
        <v>0</v>
      </c>
      <c r="AA199" s="10">
        <f t="shared" si="36"/>
        <v>0</v>
      </c>
      <c r="AB199" s="10">
        <f t="shared" si="36"/>
        <v>0</v>
      </c>
    </row>
    <row r="200" spans="1:28" x14ac:dyDescent="0.2">
      <c r="A200" s="8">
        <v>12700</v>
      </c>
      <c r="B200" s="77" t="str">
        <f t="shared" si="27"/>
        <v>Dungog</v>
      </c>
      <c r="C200" s="9" t="str">
        <f t="shared" si="28"/>
        <v>Hunter</v>
      </c>
      <c r="D200" s="45" t="str">
        <f t="shared" si="29"/>
        <v>R</v>
      </c>
      <c r="E200" s="10" t="str">
        <f t="shared" si="30"/>
        <v>HJO</v>
      </c>
      <c r="F200" s="10">
        <f t="shared" si="31"/>
        <v>0</v>
      </c>
      <c r="G200" s="10">
        <f t="shared" si="31"/>
        <v>0</v>
      </c>
      <c r="H200" s="10">
        <f t="shared" si="31"/>
        <v>0</v>
      </c>
      <c r="I200" s="660"/>
      <c r="J200" s="10">
        <f t="shared" si="32"/>
        <v>0</v>
      </c>
      <c r="K200" s="10">
        <f t="shared" si="32"/>
        <v>0</v>
      </c>
      <c r="L200" s="10">
        <f t="shared" si="32"/>
        <v>0</v>
      </c>
      <c r="M200" s="660"/>
      <c r="N200" s="10">
        <f t="shared" si="33"/>
        <v>0</v>
      </c>
      <c r="O200" s="10">
        <f t="shared" si="33"/>
        <v>0</v>
      </c>
      <c r="P200" s="10">
        <f t="shared" si="33"/>
        <v>0</v>
      </c>
      <c r="Q200" s="660"/>
      <c r="R200" s="10">
        <f t="shared" si="34"/>
        <v>0</v>
      </c>
      <c r="S200" s="10">
        <f t="shared" si="34"/>
        <v>0</v>
      </c>
      <c r="T200" s="10">
        <f t="shared" si="34"/>
        <v>0</v>
      </c>
      <c r="U200" s="660"/>
      <c r="V200" s="10">
        <f t="shared" si="35"/>
        <v>0</v>
      </c>
      <c r="W200" s="10">
        <f t="shared" si="35"/>
        <v>0</v>
      </c>
      <c r="X200" s="10">
        <f t="shared" si="35"/>
        <v>0</v>
      </c>
      <c r="Y200" s="660"/>
      <c r="Z200" s="10">
        <f t="shared" si="36"/>
        <v>0</v>
      </c>
      <c r="AA200" s="10">
        <f t="shared" si="36"/>
        <v>0</v>
      </c>
      <c r="AB200" s="10">
        <f t="shared" si="36"/>
        <v>0</v>
      </c>
    </row>
    <row r="201" spans="1:28" x14ac:dyDescent="0.2">
      <c r="A201" s="8">
        <v>14350</v>
      </c>
      <c r="B201" s="77" t="str">
        <f t="shared" si="27"/>
        <v>Kempsey</v>
      </c>
      <c r="C201" s="9" t="str">
        <f t="shared" si="28"/>
        <v>MidWaste</v>
      </c>
      <c r="D201" s="45" t="str">
        <f t="shared" si="29"/>
        <v>R</v>
      </c>
      <c r="E201" s="10" t="str">
        <f t="shared" si="30"/>
        <v>MNCJO</v>
      </c>
      <c r="F201" s="10">
        <f t="shared" si="31"/>
        <v>0</v>
      </c>
      <c r="G201" s="10">
        <f t="shared" si="31"/>
        <v>0</v>
      </c>
      <c r="H201" s="10">
        <f t="shared" si="31"/>
        <v>0</v>
      </c>
      <c r="I201" s="660"/>
      <c r="J201" s="10">
        <f t="shared" si="32"/>
        <v>0</v>
      </c>
      <c r="K201" s="10">
        <f t="shared" si="32"/>
        <v>0</v>
      </c>
      <c r="L201" s="10">
        <f t="shared" si="32"/>
        <v>0</v>
      </c>
      <c r="M201" s="660"/>
      <c r="N201" s="10">
        <f t="shared" si="33"/>
        <v>0</v>
      </c>
      <c r="O201" s="10">
        <f t="shared" si="33"/>
        <v>0</v>
      </c>
      <c r="P201" s="10">
        <f t="shared" si="33"/>
        <v>0</v>
      </c>
      <c r="Q201" s="660"/>
      <c r="R201" s="10">
        <f t="shared" si="34"/>
        <v>0</v>
      </c>
      <c r="S201" s="10">
        <f t="shared" si="34"/>
        <v>0</v>
      </c>
      <c r="T201" s="10">
        <f t="shared" si="34"/>
        <v>0</v>
      </c>
      <c r="U201" s="660"/>
      <c r="V201" s="10">
        <f t="shared" si="35"/>
        <v>0</v>
      </c>
      <c r="W201" s="10">
        <f t="shared" si="35"/>
        <v>0</v>
      </c>
      <c r="X201" s="10">
        <f t="shared" si="35"/>
        <v>0</v>
      </c>
      <c r="Y201" s="660"/>
      <c r="Z201" s="10">
        <f t="shared" si="36"/>
        <v>0</v>
      </c>
      <c r="AA201" s="10">
        <f t="shared" si="36"/>
        <v>0</v>
      </c>
      <c r="AB201" s="10">
        <f t="shared" si="36"/>
        <v>0</v>
      </c>
    </row>
    <row r="202" spans="1:28" x14ac:dyDescent="0.2">
      <c r="A202" s="8">
        <v>14550</v>
      </c>
      <c r="B202" s="77" t="str">
        <f t="shared" si="27"/>
        <v>Kyogle</v>
      </c>
      <c r="C202" s="9" t="str">
        <f t="shared" si="28"/>
        <v>NEWF</v>
      </c>
      <c r="D202" s="45" t="str">
        <f t="shared" si="29"/>
        <v>R</v>
      </c>
      <c r="E202" s="10" t="str">
        <f t="shared" si="30"/>
        <v>NRJO</v>
      </c>
      <c r="F202" s="10">
        <f t="shared" si="31"/>
        <v>0</v>
      </c>
      <c r="G202" s="10">
        <f t="shared" si="31"/>
        <v>0</v>
      </c>
      <c r="H202" s="10">
        <f t="shared" si="31"/>
        <v>0</v>
      </c>
      <c r="I202" s="660"/>
      <c r="J202" s="10">
        <f t="shared" si="32"/>
        <v>0</v>
      </c>
      <c r="K202" s="10">
        <f t="shared" si="32"/>
        <v>0</v>
      </c>
      <c r="L202" s="10">
        <f t="shared" si="32"/>
        <v>0</v>
      </c>
      <c r="M202" s="660"/>
      <c r="N202" s="10">
        <f t="shared" si="33"/>
        <v>0</v>
      </c>
      <c r="O202" s="10">
        <f t="shared" si="33"/>
        <v>0</v>
      </c>
      <c r="P202" s="10">
        <f t="shared" si="33"/>
        <v>0</v>
      </c>
      <c r="Q202" s="660"/>
      <c r="R202" s="10">
        <f t="shared" si="34"/>
        <v>0</v>
      </c>
      <c r="S202" s="10">
        <f t="shared" si="34"/>
        <v>0</v>
      </c>
      <c r="T202" s="10">
        <f t="shared" si="34"/>
        <v>0</v>
      </c>
      <c r="U202" s="660"/>
      <c r="V202" s="10">
        <f t="shared" si="35"/>
        <v>0</v>
      </c>
      <c r="W202" s="10">
        <f t="shared" si="35"/>
        <v>0</v>
      </c>
      <c r="X202" s="10">
        <f t="shared" si="35"/>
        <v>0</v>
      </c>
      <c r="Y202" s="660"/>
      <c r="Z202" s="10">
        <f t="shared" si="36"/>
        <v>0</v>
      </c>
      <c r="AA202" s="10">
        <f t="shared" si="36"/>
        <v>0</v>
      </c>
      <c r="AB202" s="10">
        <f t="shared" si="36"/>
        <v>0</v>
      </c>
    </row>
    <row r="203" spans="1:28" x14ac:dyDescent="0.2">
      <c r="A203" s="8">
        <v>14850</v>
      </c>
      <c r="B203" s="77" t="str">
        <f t="shared" si="27"/>
        <v>Lismore</v>
      </c>
      <c r="C203" s="9" t="str">
        <f t="shared" si="28"/>
        <v>NEWF</v>
      </c>
      <c r="D203" s="45" t="str">
        <f t="shared" si="29"/>
        <v>R</v>
      </c>
      <c r="E203" s="10" t="str">
        <f t="shared" si="30"/>
        <v>NRJO</v>
      </c>
      <c r="F203" s="10">
        <f t="shared" si="31"/>
        <v>0</v>
      </c>
      <c r="G203" s="10">
        <f t="shared" si="31"/>
        <v>0</v>
      </c>
      <c r="H203" s="10">
        <f t="shared" si="31"/>
        <v>0</v>
      </c>
      <c r="I203" s="660"/>
      <c r="J203" s="10">
        <f t="shared" si="32"/>
        <v>0</v>
      </c>
      <c r="K203" s="10">
        <f t="shared" si="32"/>
        <v>0</v>
      </c>
      <c r="L203" s="10">
        <f t="shared" si="32"/>
        <v>0</v>
      </c>
      <c r="M203" s="660"/>
      <c r="N203" s="10">
        <f t="shared" si="33"/>
        <v>0</v>
      </c>
      <c r="O203" s="10">
        <f t="shared" si="33"/>
        <v>0</v>
      </c>
      <c r="P203" s="10">
        <f t="shared" si="33"/>
        <v>0</v>
      </c>
      <c r="Q203" s="660"/>
      <c r="R203" s="10">
        <f t="shared" si="34"/>
        <v>0</v>
      </c>
      <c r="S203" s="10">
        <f t="shared" si="34"/>
        <v>0</v>
      </c>
      <c r="T203" s="10">
        <f t="shared" si="34"/>
        <v>0</v>
      </c>
      <c r="U203" s="660"/>
      <c r="V203" s="10">
        <f t="shared" si="35"/>
        <v>0</v>
      </c>
      <c r="W203" s="10">
        <f t="shared" si="35"/>
        <v>0</v>
      </c>
      <c r="X203" s="10">
        <f t="shared" si="35"/>
        <v>0</v>
      </c>
      <c r="Y203" s="660"/>
      <c r="Z203" s="10">
        <f t="shared" si="36"/>
        <v>0</v>
      </c>
      <c r="AA203" s="10">
        <f t="shared" si="36"/>
        <v>0</v>
      </c>
      <c r="AB203" s="10">
        <f t="shared" si="36"/>
        <v>0</v>
      </c>
    </row>
    <row r="204" spans="1:28" x14ac:dyDescent="0.2">
      <c r="A204" s="8">
        <v>15240</v>
      </c>
      <c r="B204" s="77" t="str">
        <f t="shared" si="27"/>
        <v>Mid-Coast</v>
      </c>
      <c r="C204" s="9" t="str">
        <f t="shared" si="28"/>
        <v>MidWaste</v>
      </c>
      <c r="D204" s="45" t="str">
        <f t="shared" si="29"/>
        <v>R</v>
      </c>
      <c r="E204" s="10" t="str">
        <f t="shared" si="30"/>
        <v>HJO</v>
      </c>
      <c r="F204" s="10">
        <f t="shared" si="31"/>
        <v>1458.24</v>
      </c>
      <c r="G204" s="10">
        <f t="shared" si="31"/>
        <v>0</v>
      </c>
      <c r="H204" s="10">
        <f t="shared" si="31"/>
        <v>1458.24</v>
      </c>
      <c r="I204" s="660"/>
      <c r="J204" s="10">
        <f t="shared" si="32"/>
        <v>0</v>
      </c>
      <c r="K204" s="10">
        <f t="shared" si="32"/>
        <v>0</v>
      </c>
      <c r="L204" s="10">
        <f t="shared" si="32"/>
        <v>0</v>
      </c>
      <c r="M204" s="660"/>
      <c r="N204" s="10">
        <f t="shared" si="33"/>
        <v>754.86</v>
      </c>
      <c r="O204" s="10">
        <f t="shared" si="33"/>
        <v>754.86</v>
      </c>
      <c r="P204" s="10">
        <f t="shared" si="33"/>
        <v>0</v>
      </c>
      <c r="Q204" s="660"/>
      <c r="R204" s="10">
        <f t="shared" si="34"/>
        <v>0</v>
      </c>
      <c r="S204" s="10">
        <f t="shared" si="34"/>
        <v>0</v>
      </c>
      <c r="T204" s="10">
        <f t="shared" si="34"/>
        <v>0</v>
      </c>
      <c r="U204" s="660"/>
      <c r="V204" s="10">
        <f t="shared" si="35"/>
        <v>0</v>
      </c>
      <c r="W204" s="10">
        <f t="shared" si="35"/>
        <v>0</v>
      </c>
      <c r="X204" s="10">
        <f t="shared" si="35"/>
        <v>0</v>
      </c>
      <c r="Y204" s="660"/>
      <c r="Z204" s="10">
        <f t="shared" si="36"/>
        <v>0</v>
      </c>
      <c r="AA204" s="10">
        <f t="shared" si="36"/>
        <v>0</v>
      </c>
      <c r="AB204" s="10">
        <f t="shared" si="36"/>
        <v>0</v>
      </c>
    </row>
    <row r="205" spans="1:28" x14ac:dyDescent="0.2">
      <c r="A205" s="8">
        <v>15650</v>
      </c>
      <c r="B205" s="77" t="str">
        <f t="shared" si="27"/>
        <v>Muswellbrook</v>
      </c>
      <c r="C205" s="9" t="str">
        <f t="shared" si="28"/>
        <v>Hunter</v>
      </c>
      <c r="D205" s="45" t="str">
        <f t="shared" si="29"/>
        <v>R</v>
      </c>
      <c r="E205" s="10" t="str">
        <f t="shared" si="30"/>
        <v>HJO</v>
      </c>
      <c r="F205" s="10">
        <f t="shared" si="31"/>
        <v>508.3</v>
      </c>
      <c r="G205" s="10">
        <f t="shared" si="31"/>
        <v>0</v>
      </c>
      <c r="H205" s="10">
        <f t="shared" si="31"/>
        <v>508.3</v>
      </c>
      <c r="I205" s="660"/>
      <c r="J205" s="10">
        <f t="shared" si="32"/>
        <v>24.36</v>
      </c>
      <c r="K205" s="10">
        <f t="shared" si="32"/>
        <v>24.36</v>
      </c>
      <c r="L205" s="10">
        <f t="shared" si="32"/>
        <v>0</v>
      </c>
      <c r="M205" s="660"/>
      <c r="N205" s="10">
        <f t="shared" si="33"/>
        <v>166.42</v>
      </c>
      <c r="O205" s="10">
        <f t="shared" si="33"/>
        <v>166.42</v>
      </c>
      <c r="P205" s="10">
        <f t="shared" si="33"/>
        <v>0</v>
      </c>
      <c r="Q205" s="660"/>
      <c r="R205" s="10">
        <f t="shared" si="34"/>
        <v>1.92</v>
      </c>
      <c r="S205" s="10">
        <f t="shared" si="34"/>
        <v>1.92</v>
      </c>
      <c r="T205" s="10">
        <f t="shared" si="34"/>
        <v>0</v>
      </c>
      <c r="U205" s="660"/>
      <c r="V205" s="10">
        <f t="shared" si="35"/>
        <v>0</v>
      </c>
      <c r="W205" s="10">
        <f t="shared" si="35"/>
        <v>0</v>
      </c>
      <c r="X205" s="10">
        <f t="shared" si="35"/>
        <v>0</v>
      </c>
      <c r="Y205" s="660"/>
      <c r="Z205" s="10">
        <f t="shared" si="36"/>
        <v>17</v>
      </c>
      <c r="AA205" s="10">
        <f t="shared" si="36"/>
        <v>17</v>
      </c>
      <c r="AB205" s="10">
        <f t="shared" si="36"/>
        <v>0</v>
      </c>
    </row>
    <row r="206" spans="1:28" x14ac:dyDescent="0.2">
      <c r="A206" s="8">
        <v>15700</v>
      </c>
      <c r="B206" s="77" t="str">
        <f t="shared" si="27"/>
        <v>Nambucca</v>
      </c>
      <c r="C206" s="9" t="str">
        <f t="shared" si="28"/>
        <v>MidWaste</v>
      </c>
      <c r="D206" s="45" t="str">
        <f t="shared" si="29"/>
        <v>R</v>
      </c>
      <c r="E206" s="10">
        <f t="shared" si="30"/>
        <v>0</v>
      </c>
      <c r="F206" s="10">
        <f t="shared" si="31"/>
        <v>590</v>
      </c>
      <c r="G206" s="10">
        <f t="shared" si="31"/>
        <v>0</v>
      </c>
      <c r="H206" s="10">
        <f t="shared" si="31"/>
        <v>590</v>
      </c>
      <c r="I206" s="660"/>
      <c r="J206" s="10">
        <f t="shared" si="32"/>
        <v>0</v>
      </c>
      <c r="K206" s="10">
        <f t="shared" si="32"/>
        <v>0</v>
      </c>
      <c r="L206" s="10">
        <f t="shared" si="32"/>
        <v>0</v>
      </c>
      <c r="M206" s="660"/>
      <c r="N206" s="10">
        <f t="shared" si="33"/>
        <v>0</v>
      </c>
      <c r="O206" s="10">
        <f t="shared" si="33"/>
        <v>0</v>
      </c>
      <c r="P206" s="10">
        <f t="shared" si="33"/>
        <v>0</v>
      </c>
      <c r="Q206" s="660"/>
      <c r="R206" s="10">
        <f t="shared" si="34"/>
        <v>0</v>
      </c>
      <c r="S206" s="10">
        <f t="shared" si="34"/>
        <v>0</v>
      </c>
      <c r="T206" s="10">
        <f t="shared" si="34"/>
        <v>0</v>
      </c>
      <c r="U206" s="660"/>
      <c r="V206" s="10">
        <f t="shared" si="35"/>
        <v>0</v>
      </c>
      <c r="W206" s="10">
        <f t="shared" si="35"/>
        <v>0</v>
      </c>
      <c r="X206" s="10">
        <f t="shared" si="35"/>
        <v>0</v>
      </c>
      <c r="Y206" s="660"/>
      <c r="Z206" s="10">
        <f t="shared" si="36"/>
        <v>0</v>
      </c>
      <c r="AA206" s="10">
        <f t="shared" si="36"/>
        <v>0</v>
      </c>
      <c r="AB206" s="10">
        <f t="shared" si="36"/>
        <v>0</v>
      </c>
    </row>
    <row r="207" spans="1:28" x14ac:dyDescent="0.2">
      <c r="A207" s="8">
        <v>16380</v>
      </c>
      <c r="B207" s="77" t="str">
        <f t="shared" si="27"/>
        <v>Port Macquarie-Hastings</v>
      </c>
      <c r="C207" s="9" t="str">
        <f t="shared" si="28"/>
        <v>MidWaste</v>
      </c>
      <c r="D207" s="45" t="str">
        <f t="shared" si="29"/>
        <v>R</v>
      </c>
      <c r="E207" s="10" t="str">
        <f t="shared" si="30"/>
        <v>MNCJO</v>
      </c>
      <c r="F207" s="10">
        <f t="shared" si="31"/>
        <v>103.56</v>
      </c>
      <c r="G207" s="10">
        <f t="shared" si="31"/>
        <v>0</v>
      </c>
      <c r="H207" s="10">
        <f t="shared" si="31"/>
        <v>103.56</v>
      </c>
      <c r="I207" s="660"/>
      <c r="J207" s="10">
        <f t="shared" si="32"/>
        <v>0</v>
      </c>
      <c r="K207" s="10">
        <f t="shared" si="32"/>
        <v>0</v>
      </c>
      <c r="L207" s="10">
        <f t="shared" si="32"/>
        <v>0</v>
      </c>
      <c r="M207" s="660"/>
      <c r="N207" s="10">
        <f t="shared" si="33"/>
        <v>3.08</v>
      </c>
      <c r="O207" s="10">
        <f t="shared" si="33"/>
        <v>3.08</v>
      </c>
      <c r="P207" s="10">
        <f t="shared" si="33"/>
        <v>0</v>
      </c>
      <c r="Q207" s="660"/>
      <c r="R207" s="10">
        <f t="shared" si="34"/>
        <v>0</v>
      </c>
      <c r="S207" s="10">
        <f t="shared" si="34"/>
        <v>0</v>
      </c>
      <c r="T207" s="10">
        <f t="shared" si="34"/>
        <v>0</v>
      </c>
      <c r="U207" s="660"/>
      <c r="V207" s="10">
        <f t="shared" si="35"/>
        <v>0</v>
      </c>
      <c r="W207" s="10">
        <f t="shared" si="35"/>
        <v>0</v>
      </c>
      <c r="X207" s="10">
        <f t="shared" si="35"/>
        <v>0</v>
      </c>
      <c r="Y207" s="660"/>
      <c r="Z207" s="10">
        <f t="shared" si="36"/>
        <v>0</v>
      </c>
      <c r="AA207" s="10">
        <f t="shared" si="36"/>
        <v>0</v>
      </c>
      <c r="AB207" s="10">
        <f t="shared" si="36"/>
        <v>0</v>
      </c>
    </row>
    <row r="208" spans="1:28" x14ac:dyDescent="0.2">
      <c r="A208" s="8">
        <v>16610</v>
      </c>
      <c r="B208" s="77" t="str">
        <f t="shared" si="27"/>
        <v>Richmond Valley</v>
      </c>
      <c r="C208" s="9" t="str">
        <f t="shared" si="28"/>
        <v>NEWF</v>
      </c>
      <c r="D208" s="45" t="str">
        <f t="shared" si="29"/>
        <v>R</v>
      </c>
      <c r="E208" s="10" t="str">
        <f t="shared" si="30"/>
        <v>NRJO</v>
      </c>
      <c r="F208" s="10">
        <f t="shared" si="31"/>
        <v>0</v>
      </c>
      <c r="G208" s="10">
        <f t="shared" si="31"/>
        <v>0</v>
      </c>
      <c r="H208" s="10">
        <f t="shared" si="31"/>
        <v>0</v>
      </c>
      <c r="I208" s="660"/>
      <c r="J208" s="10">
        <f t="shared" si="32"/>
        <v>0</v>
      </c>
      <c r="K208" s="10">
        <f t="shared" si="32"/>
        <v>0</v>
      </c>
      <c r="L208" s="10">
        <f t="shared" si="32"/>
        <v>0</v>
      </c>
      <c r="M208" s="660"/>
      <c r="N208" s="10">
        <f t="shared" si="33"/>
        <v>0</v>
      </c>
      <c r="O208" s="10">
        <f t="shared" si="33"/>
        <v>0</v>
      </c>
      <c r="P208" s="10">
        <f t="shared" si="33"/>
        <v>0</v>
      </c>
      <c r="Q208" s="660"/>
      <c r="R208" s="10">
        <f t="shared" si="34"/>
        <v>0</v>
      </c>
      <c r="S208" s="10">
        <f t="shared" si="34"/>
        <v>0</v>
      </c>
      <c r="T208" s="10">
        <f t="shared" si="34"/>
        <v>0</v>
      </c>
      <c r="U208" s="660"/>
      <c r="V208" s="10">
        <f t="shared" si="35"/>
        <v>0</v>
      </c>
      <c r="W208" s="10">
        <f t="shared" si="35"/>
        <v>0</v>
      </c>
      <c r="X208" s="10">
        <f t="shared" si="35"/>
        <v>0</v>
      </c>
      <c r="Y208" s="660"/>
      <c r="Z208" s="10">
        <f t="shared" si="36"/>
        <v>0</v>
      </c>
      <c r="AA208" s="10">
        <f t="shared" si="36"/>
        <v>0</v>
      </c>
      <c r="AB208" s="10">
        <f t="shared" si="36"/>
        <v>0</v>
      </c>
    </row>
    <row r="209" spans="1:28" x14ac:dyDescent="0.2">
      <c r="A209" s="8">
        <v>17000</v>
      </c>
      <c r="B209" s="77" t="str">
        <f t="shared" si="27"/>
        <v>Singleton</v>
      </c>
      <c r="C209" s="9" t="str">
        <f t="shared" si="28"/>
        <v>Hunter</v>
      </c>
      <c r="D209" s="45" t="str">
        <f t="shared" si="29"/>
        <v>R</v>
      </c>
      <c r="E209" s="10" t="str">
        <f t="shared" si="30"/>
        <v>HJO</v>
      </c>
      <c r="F209" s="10">
        <f t="shared" si="31"/>
        <v>427.48</v>
      </c>
      <c r="G209" s="10">
        <f t="shared" si="31"/>
        <v>0</v>
      </c>
      <c r="H209" s="10">
        <f t="shared" si="31"/>
        <v>427.48</v>
      </c>
      <c r="I209" s="660"/>
      <c r="J209" s="10">
        <f t="shared" si="32"/>
        <v>38</v>
      </c>
      <c r="K209" s="10">
        <f t="shared" si="32"/>
        <v>38</v>
      </c>
      <c r="L209" s="10">
        <f t="shared" si="32"/>
        <v>0</v>
      </c>
      <c r="M209" s="660"/>
      <c r="N209" s="10">
        <f t="shared" si="33"/>
        <v>132.30000000000001</v>
      </c>
      <c r="O209" s="10">
        <f t="shared" si="33"/>
        <v>132.30000000000001</v>
      </c>
      <c r="P209" s="10">
        <f t="shared" si="33"/>
        <v>0</v>
      </c>
      <c r="Q209" s="660"/>
      <c r="R209" s="10">
        <f t="shared" si="34"/>
        <v>0</v>
      </c>
      <c r="S209" s="10">
        <f t="shared" si="34"/>
        <v>0</v>
      </c>
      <c r="T209" s="10">
        <f t="shared" si="34"/>
        <v>0</v>
      </c>
      <c r="U209" s="660"/>
      <c r="V209" s="10">
        <f t="shared" si="35"/>
        <v>14</v>
      </c>
      <c r="W209" s="10">
        <f t="shared" si="35"/>
        <v>14</v>
      </c>
      <c r="X209" s="10">
        <f t="shared" si="35"/>
        <v>0</v>
      </c>
      <c r="Y209" s="660"/>
      <c r="Z209" s="10">
        <f t="shared" si="36"/>
        <v>0</v>
      </c>
      <c r="AA209" s="10">
        <f t="shared" si="36"/>
        <v>0</v>
      </c>
      <c r="AB209" s="10">
        <f t="shared" si="36"/>
        <v>0</v>
      </c>
    </row>
    <row r="210" spans="1:28" x14ac:dyDescent="0.2">
      <c r="A210" s="8">
        <v>17550</v>
      </c>
      <c r="B210" s="77" t="str">
        <f t="shared" si="27"/>
        <v>Tweed</v>
      </c>
      <c r="C210" s="9" t="str">
        <f t="shared" si="28"/>
        <v>NEWF</v>
      </c>
      <c r="D210" s="45" t="str">
        <f t="shared" si="29"/>
        <v>R</v>
      </c>
      <c r="E210" s="10" t="str">
        <f t="shared" si="30"/>
        <v>NRJO</v>
      </c>
      <c r="F210" s="10">
        <f t="shared" si="31"/>
        <v>1066</v>
      </c>
      <c r="G210" s="10">
        <f t="shared" si="31"/>
        <v>0</v>
      </c>
      <c r="H210" s="10">
        <f t="shared" si="31"/>
        <v>1066</v>
      </c>
      <c r="I210" s="660"/>
      <c r="J210" s="10">
        <f t="shared" si="32"/>
        <v>0</v>
      </c>
      <c r="K210" s="10">
        <f t="shared" si="32"/>
        <v>0</v>
      </c>
      <c r="L210" s="10">
        <f t="shared" si="32"/>
        <v>0</v>
      </c>
      <c r="M210" s="660"/>
      <c r="N210" s="10">
        <f t="shared" si="33"/>
        <v>0</v>
      </c>
      <c r="O210" s="10">
        <f t="shared" si="33"/>
        <v>0</v>
      </c>
      <c r="P210" s="10">
        <f t="shared" si="33"/>
        <v>0</v>
      </c>
      <c r="Q210" s="660"/>
      <c r="R210" s="10">
        <f t="shared" si="34"/>
        <v>0</v>
      </c>
      <c r="S210" s="10">
        <f t="shared" si="34"/>
        <v>0</v>
      </c>
      <c r="T210" s="10">
        <f t="shared" si="34"/>
        <v>0</v>
      </c>
      <c r="U210" s="660"/>
      <c r="V210" s="10">
        <f t="shared" si="35"/>
        <v>0</v>
      </c>
      <c r="W210" s="10">
        <f t="shared" si="35"/>
        <v>0</v>
      </c>
      <c r="X210" s="10">
        <f t="shared" si="35"/>
        <v>0</v>
      </c>
      <c r="Y210" s="660"/>
      <c r="Z210" s="10">
        <f t="shared" si="36"/>
        <v>0</v>
      </c>
      <c r="AA210" s="10">
        <f t="shared" si="36"/>
        <v>0</v>
      </c>
      <c r="AB210" s="10">
        <f t="shared" si="36"/>
        <v>0</v>
      </c>
    </row>
    <row r="211" spans="1:28" x14ac:dyDescent="0.2">
      <c r="A211" s="8">
        <v>17620</v>
      </c>
      <c r="B211" s="77" t="str">
        <f t="shared" si="27"/>
        <v>Upper Hunter Shire</v>
      </c>
      <c r="C211" s="9" t="str">
        <f t="shared" si="28"/>
        <v>Hunter</v>
      </c>
      <c r="D211" s="45" t="str">
        <f t="shared" si="29"/>
        <v>R</v>
      </c>
      <c r="E211" s="10" t="str">
        <f t="shared" si="30"/>
        <v>HJO</v>
      </c>
      <c r="F211" s="10">
        <f t="shared" si="31"/>
        <v>84.93</v>
      </c>
      <c r="G211" s="10">
        <f t="shared" si="31"/>
        <v>0</v>
      </c>
      <c r="H211" s="10">
        <f t="shared" si="31"/>
        <v>84.93</v>
      </c>
      <c r="I211" s="660"/>
      <c r="J211" s="10">
        <f t="shared" si="32"/>
        <v>0</v>
      </c>
      <c r="K211" s="10">
        <f t="shared" si="32"/>
        <v>0</v>
      </c>
      <c r="L211" s="10">
        <f t="shared" si="32"/>
        <v>0</v>
      </c>
      <c r="M211" s="660"/>
      <c r="N211" s="10">
        <f t="shared" si="33"/>
        <v>0</v>
      </c>
      <c r="O211" s="10">
        <f t="shared" si="33"/>
        <v>0</v>
      </c>
      <c r="P211" s="10">
        <f t="shared" si="33"/>
        <v>0</v>
      </c>
      <c r="Q211" s="660"/>
      <c r="R211" s="10">
        <f t="shared" si="34"/>
        <v>0</v>
      </c>
      <c r="S211" s="10">
        <f t="shared" si="34"/>
        <v>0</v>
      </c>
      <c r="T211" s="10">
        <f t="shared" si="34"/>
        <v>0</v>
      </c>
      <c r="U211" s="660"/>
      <c r="V211" s="10">
        <f t="shared" si="35"/>
        <v>0</v>
      </c>
      <c r="W211" s="10">
        <f t="shared" si="35"/>
        <v>0</v>
      </c>
      <c r="X211" s="10">
        <f t="shared" si="35"/>
        <v>0</v>
      </c>
      <c r="Y211" s="660"/>
      <c r="Z211" s="10">
        <f t="shared" si="36"/>
        <v>0</v>
      </c>
      <c r="AA211" s="10">
        <f t="shared" si="36"/>
        <v>0</v>
      </c>
      <c r="AB211" s="10">
        <f t="shared" si="36"/>
        <v>0</v>
      </c>
    </row>
    <row r="212" spans="1:28" ht="13.5" thickBot="1" x14ac:dyDescent="0.25">
      <c r="A212" s="8">
        <v>18400</v>
      </c>
      <c r="B212" s="77" t="str">
        <f t="shared" si="27"/>
        <v>Wollondilly</v>
      </c>
      <c r="C212" s="9" t="str">
        <f t="shared" si="28"/>
        <v>MSWA</v>
      </c>
      <c r="D212" s="45" t="str">
        <f t="shared" si="29"/>
        <v>R</v>
      </c>
      <c r="E212" s="10">
        <f t="shared" si="30"/>
        <v>0</v>
      </c>
      <c r="F212" s="10">
        <f t="shared" si="31"/>
        <v>2359</v>
      </c>
      <c r="G212" s="10">
        <f t="shared" si="31"/>
        <v>0</v>
      </c>
      <c r="H212" s="10">
        <f t="shared" si="31"/>
        <v>2359</v>
      </c>
      <c r="I212" s="660"/>
      <c r="J212" s="10">
        <f t="shared" si="32"/>
        <v>0</v>
      </c>
      <c r="K212" s="10">
        <f t="shared" si="32"/>
        <v>0</v>
      </c>
      <c r="L212" s="10">
        <f t="shared" si="32"/>
        <v>0</v>
      </c>
      <c r="M212" s="660"/>
      <c r="N212" s="10">
        <f t="shared" si="33"/>
        <v>290</v>
      </c>
      <c r="O212" s="10">
        <f t="shared" si="33"/>
        <v>290</v>
      </c>
      <c r="P212" s="10">
        <f t="shared" si="33"/>
        <v>0</v>
      </c>
      <c r="Q212" s="660"/>
      <c r="R212" s="10">
        <f t="shared" si="34"/>
        <v>0</v>
      </c>
      <c r="S212" s="10">
        <f t="shared" si="34"/>
        <v>0</v>
      </c>
      <c r="T212" s="10">
        <f t="shared" si="34"/>
        <v>0</v>
      </c>
      <c r="U212" s="660"/>
      <c r="V212" s="10">
        <f t="shared" si="35"/>
        <v>0</v>
      </c>
      <c r="W212" s="10">
        <f t="shared" si="35"/>
        <v>0</v>
      </c>
      <c r="X212" s="10">
        <f t="shared" si="35"/>
        <v>0</v>
      </c>
      <c r="Y212" s="660"/>
      <c r="Z212" s="10">
        <f t="shared" si="36"/>
        <v>0</v>
      </c>
      <c r="AA212" s="10">
        <f t="shared" si="36"/>
        <v>0</v>
      </c>
      <c r="AB212" s="10">
        <f t="shared" si="36"/>
        <v>0</v>
      </c>
    </row>
    <row r="213" spans="1:28" ht="13.5" thickTop="1" x14ac:dyDescent="0.2">
      <c r="B213" s="11"/>
      <c r="C213" s="11" t="s">
        <v>26</v>
      </c>
      <c r="D213" s="11"/>
      <c r="F213" s="13">
        <f t="shared" ref="F213" si="37">COUNTIF(F194:F212,"&gt;0")</f>
        <v>12</v>
      </c>
      <c r="G213" s="13">
        <f t="shared" ref="G213:AB213" si="38">COUNTIF(G194:G212,"&gt;0")</f>
        <v>1</v>
      </c>
      <c r="H213" s="13">
        <f t="shared" si="38"/>
        <v>12</v>
      </c>
      <c r="I213" s="661"/>
      <c r="J213" s="13">
        <f t="shared" si="38"/>
        <v>3</v>
      </c>
      <c r="K213" s="13">
        <f t="shared" si="38"/>
        <v>3</v>
      </c>
      <c r="L213" s="13">
        <f t="shared" si="38"/>
        <v>0</v>
      </c>
      <c r="M213" s="661"/>
      <c r="N213" s="13">
        <f t="shared" si="38"/>
        <v>6</v>
      </c>
      <c r="O213" s="13">
        <f t="shared" si="38"/>
        <v>6</v>
      </c>
      <c r="P213" s="13">
        <f t="shared" si="38"/>
        <v>0</v>
      </c>
      <c r="Q213" s="661"/>
      <c r="R213" s="13">
        <f t="shared" si="38"/>
        <v>1</v>
      </c>
      <c r="S213" s="13">
        <f t="shared" si="38"/>
        <v>1</v>
      </c>
      <c r="T213" s="13">
        <f t="shared" si="38"/>
        <v>0</v>
      </c>
      <c r="U213" s="661"/>
      <c r="V213" s="13">
        <f t="shared" si="38"/>
        <v>1</v>
      </c>
      <c r="W213" s="13">
        <f t="shared" si="38"/>
        <v>1</v>
      </c>
      <c r="X213" s="13">
        <f t="shared" si="38"/>
        <v>0</v>
      </c>
      <c r="Y213" s="661"/>
      <c r="Z213" s="13">
        <f t="shared" si="38"/>
        <v>3</v>
      </c>
      <c r="AA213" s="13">
        <f t="shared" si="38"/>
        <v>3</v>
      </c>
      <c r="AB213" s="13">
        <f t="shared" si="38"/>
        <v>0</v>
      </c>
    </row>
    <row r="214" spans="1:28" x14ac:dyDescent="0.2">
      <c r="B214" s="14" t="s">
        <v>460</v>
      </c>
      <c r="C214" s="8" t="s">
        <v>27</v>
      </c>
      <c r="D214" s="8"/>
      <c r="F214" s="15">
        <f t="shared" ref="F214" si="39">SUM(F194:F212)</f>
        <v>10589.77</v>
      </c>
      <c r="G214" s="15">
        <f t="shared" ref="G214:AB214" si="40">SUM(G194:G212)</f>
        <v>986.2</v>
      </c>
      <c r="H214" s="15">
        <f t="shared" si="40"/>
        <v>9603.57</v>
      </c>
      <c r="I214" s="662"/>
      <c r="J214" s="15">
        <f t="shared" si="40"/>
        <v>129.92000000000002</v>
      </c>
      <c r="K214" s="15">
        <f t="shared" si="40"/>
        <v>129.92000000000002</v>
      </c>
      <c r="L214" s="15">
        <f t="shared" si="40"/>
        <v>0</v>
      </c>
      <c r="M214" s="662"/>
      <c r="N214" s="15">
        <f t="shared" si="40"/>
        <v>1375.32</v>
      </c>
      <c r="O214" s="15">
        <f t="shared" si="40"/>
        <v>1375.32</v>
      </c>
      <c r="P214" s="15">
        <f t="shared" si="40"/>
        <v>0</v>
      </c>
      <c r="Q214" s="662"/>
      <c r="R214" s="15">
        <f t="shared" si="40"/>
        <v>1.92</v>
      </c>
      <c r="S214" s="15">
        <f t="shared" si="40"/>
        <v>1.92</v>
      </c>
      <c r="T214" s="15">
        <f t="shared" si="40"/>
        <v>0</v>
      </c>
      <c r="U214" s="662"/>
      <c r="V214" s="15">
        <f t="shared" si="40"/>
        <v>14</v>
      </c>
      <c r="W214" s="15">
        <f t="shared" si="40"/>
        <v>14</v>
      </c>
      <c r="X214" s="15">
        <f t="shared" si="40"/>
        <v>0</v>
      </c>
      <c r="Y214" s="662"/>
      <c r="Z214" s="15">
        <f t="shared" si="40"/>
        <v>624.14</v>
      </c>
      <c r="AA214" s="15">
        <f t="shared" si="40"/>
        <v>624.14</v>
      </c>
      <c r="AB214" s="15">
        <f t="shared" si="40"/>
        <v>0</v>
      </c>
    </row>
    <row r="215" spans="1:28" x14ac:dyDescent="0.2">
      <c r="B215" s="14"/>
      <c r="C215" s="8" t="s">
        <v>28</v>
      </c>
      <c r="D215" s="8"/>
      <c r="F215" s="10">
        <f t="shared" ref="F215" si="41">MIN(F194:F212)</f>
        <v>0</v>
      </c>
      <c r="G215" s="10">
        <f t="shared" ref="G215:AB215" si="42">MIN(G194:G212)</f>
        <v>0</v>
      </c>
      <c r="H215" s="10">
        <f t="shared" si="42"/>
        <v>0</v>
      </c>
      <c r="I215" s="660"/>
      <c r="J215" s="10">
        <f t="shared" si="42"/>
        <v>0</v>
      </c>
      <c r="K215" s="10">
        <f t="shared" si="42"/>
        <v>0</v>
      </c>
      <c r="L215" s="10">
        <f t="shared" si="42"/>
        <v>0</v>
      </c>
      <c r="M215" s="660"/>
      <c r="N215" s="10">
        <f t="shared" si="42"/>
        <v>0</v>
      </c>
      <c r="O215" s="10">
        <f t="shared" si="42"/>
        <v>0</v>
      </c>
      <c r="P215" s="10">
        <f t="shared" si="42"/>
        <v>0</v>
      </c>
      <c r="Q215" s="660"/>
      <c r="R215" s="10">
        <f t="shared" si="42"/>
        <v>0</v>
      </c>
      <c r="S215" s="10">
        <f t="shared" si="42"/>
        <v>0</v>
      </c>
      <c r="T215" s="10">
        <f t="shared" si="42"/>
        <v>0</v>
      </c>
      <c r="U215" s="660"/>
      <c r="V215" s="10">
        <f t="shared" si="42"/>
        <v>0</v>
      </c>
      <c r="W215" s="10">
        <f t="shared" si="42"/>
        <v>0</v>
      </c>
      <c r="X215" s="10">
        <f t="shared" si="42"/>
        <v>0</v>
      </c>
      <c r="Y215" s="660"/>
      <c r="Z215" s="10">
        <f t="shared" si="42"/>
        <v>0</v>
      </c>
      <c r="AA215" s="10">
        <f t="shared" si="42"/>
        <v>0</v>
      </c>
      <c r="AB215" s="10">
        <f t="shared" si="42"/>
        <v>0</v>
      </c>
    </row>
    <row r="216" spans="1:28" x14ac:dyDescent="0.2">
      <c r="B216" s="14"/>
      <c r="C216" s="8" t="s">
        <v>29</v>
      </c>
      <c r="D216" s="8"/>
      <c r="F216" s="10">
        <f t="shared" ref="F216" si="43">MAX(F194:F212)</f>
        <v>2359</v>
      </c>
      <c r="G216" s="10">
        <f t="shared" ref="G216:AB216" si="44">MAX(G194:G212)</f>
        <v>986.2</v>
      </c>
      <c r="H216" s="10">
        <f t="shared" si="44"/>
        <v>2359</v>
      </c>
      <c r="I216" s="660"/>
      <c r="J216" s="10">
        <f t="shared" si="44"/>
        <v>67.56</v>
      </c>
      <c r="K216" s="10">
        <f t="shared" si="44"/>
        <v>67.56</v>
      </c>
      <c r="L216" s="10">
        <f t="shared" si="44"/>
        <v>0</v>
      </c>
      <c r="M216" s="660"/>
      <c r="N216" s="10">
        <f t="shared" si="44"/>
        <v>754.86</v>
      </c>
      <c r="O216" s="10">
        <f t="shared" si="44"/>
        <v>754.86</v>
      </c>
      <c r="P216" s="10">
        <f t="shared" si="44"/>
        <v>0</v>
      </c>
      <c r="Q216" s="660"/>
      <c r="R216" s="10">
        <f t="shared" si="44"/>
        <v>1.92</v>
      </c>
      <c r="S216" s="10">
        <f t="shared" si="44"/>
        <v>1.92</v>
      </c>
      <c r="T216" s="10">
        <f t="shared" si="44"/>
        <v>0</v>
      </c>
      <c r="U216" s="660"/>
      <c r="V216" s="10">
        <f t="shared" si="44"/>
        <v>14</v>
      </c>
      <c r="W216" s="10">
        <f t="shared" si="44"/>
        <v>14</v>
      </c>
      <c r="X216" s="10">
        <f t="shared" si="44"/>
        <v>0</v>
      </c>
      <c r="Y216" s="660"/>
      <c r="Z216" s="10">
        <f t="shared" si="44"/>
        <v>462.14</v>
      </c>
      <c r="AA216" s="10">
        <f t="shared" si="44"/>
        <v>462.14</v>
      </c>
      <c r="AB216" s="10">
        <f t="shared" si="44"/>
        <v>0</v>
      </c>
    </row>
    <row r="217" spans="1:28" x14ac:dyDescent="0.2">
      <c r="B217" s="14"/>
      <c r="C217" s="8" t="s">
        <v>30</v>
      </c>
      <c r="D217" s="8"/>
      <c r="F217" s="10">
        <f t="shared" ref="F217" si="45">AVERAGE(F194:F212)</f>
        <v>557.35631578947368</v>
      </c>
      <c r="G217" s="10">
        <f t="shared" ref="G217:AB217" si="46">AVERAGE(G194:G212)</f>
        <v>51.905263157894737</v>
      </c>
      <c r="H217" s="10">
        <f t="shared" si="46"/>
        <v>505.45105263157893</v>
      </c>
      <c r="I217" s="660"/>
      <c r="J217" s="10">
        <f t="shared" si="46"/>
        <v>6.8378947368421059</v>
      </c>
      <c r="K217" s="10">
        <f t="shared" si="46"/>
        <v>6.8378947368421059</v>
      </c>
      <c r="L217" s="10">
        <f t="shared" si="46"/>
        <v>0</v>
      </c>
      <c r="M217" s="660"/>
      <c r="N217" s="10">
        <f t="shared" si="46"/>
        <v>72.385263157894727</v>
      </c>
      <c r="O217" s="10">
        <f t="shared" si="46"/>
        <v>72.385263157894727</v>
      </c>
      <c r="P217" s="10">
        <f t="shared" si="46"/>
        <v>0</v>
      </c>
      <c r="Q217" s="660"/>
      <c r="R217" s="10">
        <f t="shared" si="46"/>
        <v>0.10105263157894737</v>
      </c>
      <c r="S217" s="10">
        <f t="shared" si="46"/>
        <v>0.10105263157894737</v>
      </c>
      <c r="T217" s="10">
        <f t="shared" si="46"/>
        <v>0</v>
      </c>
      <c r="U217" s="660"/>
      <c r="V217" s="10">
        <f t="shared" si="46"/>
        <v>0.73684210526315785</v>
      </c>
      <c r="W217" s="10">
        <f t="shared" si="46"/>
        <v>0.73684210526315785</v>
      </c>
      <c r="X217" s="10">
        <f t="shared" si="46"/>
        <v>0</v>
      </c>
      <c r="Y217" s="660"/>
      <c r="Z217" s="10">
        <f t="shared" si="46"/>
        <v>32.849473684210523</v>
      </c>
      <c r="AA217" s="10">
        <f t="shared" si="46"/>
        <v>32.849473684210523</v>
      </c>
      <c r="AB217" s="10">
        <f t="shared" si="46"/>
        <v>0</v>
      </c>
    </row>
    <row r="218" spans="1:28" ht="13.5" thickBot="1" x14ac:dyDescent="0.25">
      <c r="B218" s="17"/>
      <c r="C218" s="16" t="s">
        <v>31</v>
      </c>
      <c r="D218" s="16"/>
      <c r="F218" s="18">
        <f t="shared" ref="F218" si="47">MEDIAN(F194:F212)</f>
        <v>126.34</v>
      </c>
      <c r="G218" s="18">
        <f t="shared" ref="G218:AB218" si="48">MEDIAN(G194:G212)</f>
        <v>0</v>
      </c>
      <c r="H218" s="18">
        <f t="shared" si="48"/>
        <v>126.34</v>
      </c>
      <c r="I218" s="663"/>
      <c r="J218" s="18">
        <f t="shared" si="48"/>
        <v>0</v>
      </c>
      <c r="K218" s="18">
        <f t="shared" si="48"/>
        <v>0</v>
      </c>
      <c r="L218" s="18">
        <f t="shared" si="48"/>
        <v>0</v>
      </c>
      <c r="M218" s="663"/>
      <c r="N218" s="18">
        <f t="shared" si="48"/>
        <v>0</v>
      </c>
      <c r="O218" s="18">
        <f t="shared" si="48"/>
        <v>0</v>
      </c>
      <c r="P218" s="18">
        <f t="shared" si="48"/>
        <v>0</v>
      </c>
      <c r="Q218" s="663"/>
      <c r="R218" s="18">
        <f t="shared" si="48"/>
        <v>0</v>
      </c>
      <c r="S218" s="18">
        <f t="shared" si="48"/>
        <v>0</v>
      </c>
      <c r="T218" s="18">
        <f t="shared" si="48"/>
        <v>0</v>
      </c>
      <c r="U218" s="663"/>
      <c r="V218" s="18">
        <f t="shared" si="48"/>
        <v>0</v>
      </c>
      <c r="W218" s="18">
        <f t="shared" si="48"/>
        <v>0</v>
      </c>
      <c r="X218" s="18">
        <f t="shared" si="48"/>
        <v>0</v>
      </c>
      <c r="Y218" s="663"/>
      <c r="Z218" s="18">
        <f t="shared" si="48"/>
        <v>0</v>
      </c>
      <c r="AA218" s="18">
        <f t="shared" si="48"/>
        <v>0</v>
      </c>
      <c r="AB218" s="18">
        <f t="shared" si="48"/>
        <v>0</v>
      </c>
    </row>
    <row r="219" spans="1:28" ht="13.5" thickTop="1" x14ac:dyDescent="0.2"/>
    <row r="221" spans="1:28" ht="15.75" x14ac:dyDescent="0.25">
      <c r="A221" s="74"/>
      <c r="B221" s="74" t="s">
        <v>527</v>
      </c>
      <c r="C221" s="75"/>
      <c r="D221" s="46"/>
      <c r="E221" s="76"/>
      <c r="F221">
        <v>6</v>
      </c>
      <c r="G221">
        <v>7</v>
      </c>
      <c r="H221">
        <v>8</v>
      </c>
      <c r="J221">
        <v>10</v>
      </c>
      <c r="K221">
        <v>11</v>
      </c>
      <c r="L221">
        <v>12</v>
      </c>
      <c r="N221">
        <v>14</v>
      </c>
      <c r="O221">
        <v>15</v>
      </c>
      <c r="P221">
        <v>16</v>
      </c>
      <c r="R221">
        <v>18</v>
      </c>
      <c r="S221">
        <v>19</v>
      </c>
      <c r="T221">
        <v>20</v>
      </c>
      <c r="V221">
        <v>22</v>
      </c>
      <c r="W221">
        <v>23</v>
      </c>
      <c r="X221">
        <v>24</v>
      </c>
      <c r="Z221">
        <v>26</v>
      </c>
      <c r="AA221">
        <v>27</v>
      </c>
      <c r="AB221">
        <v>28</v>
      </c>
    </row>
    <row r="222" spans="1:28" x14ac:dyDescent="0.2">
      <c r="A222" s="8">
        <v>10050</v>
      </c>
      <c r="B222" s="77" t="s">
        <v>71</v>
      </c>
      <c r="C222" s="9" t="s">
        <v>66</v>
      </c>
      <c r="D222" s="45" t="s">
        <v>1</v>
      </c>
      <c r="E222" s="10" t="s">
        <v>184</v>
      </c>
      <c r="F222" s="10">
        <f t="shared" ref="F222:H241" si="49">VLOOKUP($A222,$A$3:$AX$130,F$221,FALSE)</f>
        <v>0</v>
      </c>
      <c r="G222" s="10">
        <f t="shared" si="49"/>
        <v>0</v>
      </c>
      <c r="H222" s="10">
        <f t="shared" si="49"/>
        <v>0</v>
      </c>
      <c r="I222" s="660"/>
      <c r="J222" s="10">
        <f t="shared" ref="J222:L241" si="50">VLOOKUP($A222,$A$3:$AX$130,J$221,FALSE)</f>
        <v>0</v>
      </c>
      <c r="K222" s="10">
        <f t="shared" si="50"/>
        <v>0</v>
      </c>
      <c r="L222" s="10">
        <f t="shared" si="50"/>
        <v>0</v>
      </c>
      <c r="M222" s="660"/>
      <c r="N222" s="10">
        <f t="shared" ref="N222:P241" si="51">VLOOKUP($A222,$A$3:$AX$130,N$221,FALSE)</f>
        <v>0</v>
      </c>
      <c r="O222" s="10">
        <f t="shared" si="51"/>
        <v>0</v>
      </c>
      <c r="P222" s="10">
        <f t="shared" si="51"/>
        <v>0</v>
      </c>
      <c r="Q222" s="660"/>
      <c r="R222" s="10">
        <f t="shared" ref="R222:T241" si="52">VLOOKUP($A222,$A$3:$AX$130,R$221,FALSE)</f>
        <v>0</v>
      </c>
      <c r="S222" s="10">
        <f t="shared" si="52"/>
        <v>0</v>
      </c>
      <c r="T222" s="10">
        <f t="shared" si="52"/>
        <v>0</v>
      </c>
      <c r="U222" s="660"/>
      <c r="V222" s="10">
        <f t="shared" ref="V222:X241" si="53">VLOOKUP($A222,$A$3:$AX$130,V$221,FALSE)</f>
        <v>0</v>
      </c>
      <c r="W222" s="10">
        <f t="shared" si="53"/>
        <v>0</v>
      </c>
      <c r="X222" s="10">
        <f t="shared" si="53"/>
        <v>0</v>
      </c>
      <c r="Y222" s="660"/>
      <c r="Z222" s="10">
        <f t="shared" ref="Z222:AB241" si="54">VLOOKUP($A222,$A$3:$AX$130,Z$221,FALSE)</f>
        <v>0</v>
      </c>
      <c r="AA222" s="10">
        <f t="shared" si="54"/>
        <v>0</v>
      </c>
      <c r="AB222" s="10">
        <f t="shared" si="54"/>
        <v>0</v>
      </c>
    </row>
    <row r="223" spans="1:28" x14ac:dyDescent="0.2">
      <c r="A223" s="8">
        <v>10180</v>
      </c>
      <c r="B223" s="77" t="s">
        <v>72</v>
      </c>
      <c r="C223" s="9" t="s">
        <v>16</v>
      </c>
      <c r="D223" s="45" t="s">
        <v>1</v>
      </c>
      <c r="E223" s="10" t="s">
        <v>185</v>
      </c>
      <c r="F223" s="10">
        <f t="shared" si="49"/>
        <v>0</v>
      </c>
      <c r="G223" s="10">
        <f t="shared" si="49"/>
        <v>0</v>
      </c>
      <c r="H223" s="10">
        <f t="shared" si="49"/>
        <v>0</v>
      </c>
      <c r="I223" s="660"/>
      <c r="J223" s="10">
        <f t="shared" si="50"/>
        <v>0</v>
      </c>
      <c r="K223" s="10">
        <f t="shared" si="50"/>
        <v>0</v>
      </c>
      <c r="L223" s="10">
        <f t="shared" si="50"/>
        <v>0</v>
      </c>
      <c r="M223" s="660"/>
      <c r="N223" s="10">
        <f t="shared" si="51"/>
        <v>0</v>
      </c>
      <c r="O223" s="10">
        <f t="shared" si="51"/>
        <v>0</v>
      </c>
      <c r="P223" s="10">
        <f t="shared" si="51"/>
        <v>0</v>
      </c>
      <c r="Q223" s="660"/>
      <c r="R223" s="10">
        <f t="shared" si="52"/>
        <v>0</v>
      </c>
      <c r="S223" s="10">
        <f t="shared" si="52"/>
        <v>0</v>
      </c>
      <c r="T223" s="10">
        <f t="shared" si="52"/>
        <v>0</v>
      </c>
      <c r="U223" s="660"/>
      <c r="V223" s="10">
        <f t="shared" si="53"/>
        <v>0</v>
      </c>
      <c r="W223" s="10">
        <f t="shared" si="53"/>
        <v>0</v>
      </c>
      <c r="X223" s="10">
        <f t="shared" si="53"/>
        <v>0</v>
      </c>
      <c r="Y223" s="660"/>
      <c r="Z223" s="10">
        <f t="shared" si="54"/>
        <v>0</v>
      </c>
      <c r="AA223" s="10">
        <f t="shared" si="54"/>
        <v>0</v>
      </c>
      <c r="AB223" s="10">
        <f t="shared" si="54"/>
        <v>0</v>
      </c>
    </row>
    <row r="224" spans="1:28" x14ac:dyDescent="0.2">
      <c r="A224" s="8">
        <v>10300</v>
      </c>
      <c r="B224" s="77" t="str">
        <f t="shared" ref="B224:B255" si="55">VLOOKUP($A224,$A$8:$I$135,2,FALSE)</f>
        <v>Balranald</v>
      </c>
      <c r="C224" s="9" t="str">
        <f t="shared" ref="C224:C255" si="56">VLOOKUP($A224,$A$8:$I$136,3,FALSE)</f>
        <v>RAMJO Murray</v>
      </c>
      <c r="D224" s="45" t="str">
        <f t="shared" ref="D224:D255" si="57">VLOOKUP($A224,$A$8:$I$136,4,FALSE)</f>
        <v>N</v>
      </c>
      <c r="E224" s="10" t="str">
        <f t="shared" ref="E224:E255" si="58">VLOOKUP($A224,$A$8:$AV$135,5,FALSE)</f>
        <v>FSWJO</v>
      </c>
      <c r="F224" s="10">
        <f t="shared" si="49"/>
        <v>0</v>
      </c>
      <c r="G224" s="10">
        <f t="shared" si="49"/>
        <v>0</v>
      </c>
      <c r="H224" s="10">
        <f t="shared" si="49"/>
        <v>0</v>
      </c>
      <c r="I224" s="660"/>
      <c r="J224" s="10">
        <f t="shared" si="50"/>
        <v>0</v>
      </c>
      <c r="K224" s="10">
        <f t="shared" si="50"/>
        <v>0</v>
      </c>
      <c r="L224" s="10">
        <f t="shared" si="50"/>
        <v>0</v>
      </c>
      <c r="M224" s="660"/>
      <c r="N224" s="10">
        <f t="shared" si="51"/>
        <v>0</v>
      </c>
      <c r="O224" s="10">
        <f t="shared" si="51"/>
        <v>0</v>
      </c>
      <c r="P224" s="10">
        <f t="shared" si="51"/>
        <v>0</v>
      </c>
      <c r="Q224" s="660"/>
      <c r="R224" s="10">
        <f t="shared" si="52"/>
        <v>0</v>
      </c>
      <c r="S224" s="10">
        <f t="shared" si="52"/>
        <v>0</v>
      </c>
      <c r="T224" s="10">
        <f t="shared" si="52"/>
        <v>0</v>
      </c>
      <c r="U224" s="660"/>
      <c r="V224" s="10">
        <f t="shared" si="53"/>
        <v>0</v>
      </c>
      <c r="W224" s="10">
        <f t="shared" si="53"/>
        <v>0</v>
      </c>
      <c r="X224" s="10">
        <f t="shared" si="53"/>
        <v>0</v>
      </c>
      <c r="Y224" s="660"/>
      <c r="Z224" s="10">
        <f t="shared" si="54"/>
        <v>0</v>
      </c>
      <c r="AA224" s="10">
        <f t="shared" si="54"/>
        <v>0</v>
      </c>
      <c r="AB224" s="10">
        <f t="shared" si="54"/>
        <v>0</v>
      </c>
    </row>
    <row r="225" spans="1:28" x14ac:dyDescent="0.2">
      <c r="A225" s="8">
        <v>10470</v>
      </c>
      <c r="B225" s="77" t="str">
        <f t="shared" si="55"/>
        <v>Bathurst Regional</v>
      </c>
      <c r="C225" s="9" t="str">
        <f t="shared" si="56"/>
        <v>NetWaste</v>
      </c>
      <c r="D225" s="45" t="str">
        <f t="shared" si="57"/>
        <v>N</v>
      </c>
      <c r="E225" s="10" t="str">
        <f t="shared" si="58"/>
        <v>CNJO</v>
      </c>
      <c r="F225" s="10">
        <f t="shared" si="49"/>
        <v>0</v>
      </c>
      <c r="G225" s="10">
        <f t="shared" si="49"/>
        <v>0</v>
      </c>
      <c r="H225" s="10">
        <f t="shared" si="49"/>
        <v>0</v>
      </c>
      <c r="I225" s="660"/>
      <c r="J225" s="10">
        <f t="shared" si="50"/>
        <v>0</v>
      </c>
      <c r="K225" s="10">
        <f t="shared" si="50"/>
        <v>0</v>
      </c>
      <c r="L225" s="10">
        <f t="shared" si="50"/>
        <v>0</v>
      </c>
      <c r="M225" s="660"/>
      <c r="N225" s="10">
        <f t="shared" si="51"/>
        <v>0</v>
      </c>
      <c r="O225" s="10">
        <f t="shared" si="51"/>
        <v>0</v>
      </c>
      <c r="P225" s="10">
        <f t="shared" si="51"/>
        <v>0</v>
      </c>
      <c r="Q225" s="660"/>
      <c r="R225" s="10">
        <f t="shared" si="52"/>
        <v>0</v>
      </c>
      <c r="S225" s="10">
        <f t="shared" si="52"/>
        <v>0</v>
      </c>
      <c r="T225" s="10">
        <f t="shared" si="52"/>
        <v>0</v>
      </c>
      <c r="U225" s="660"/>
      <c r="V225" s="10">
        <f t="shared" si="53"/>
        <v>0</v>
      </c>
      <c r="W225" s="10">
        <f t="shared" si="53"/>
        <v>0</v>
      </c>
      <c r="X225" s="10">
        <f t="shared" si="53"/>
        <v>0</v>
      </c>
      <c r="Y225" s="660"/>
      <c r="Z225" s="10">
        <f t="shared" si="54"/>
        <v>0</v>
      </c>
      <c r="AA225" s="10">
        <f t="shared" si="54"/>
        <v>0</v>
      </c>
      <c r="AB225" s="10">
        <f t="shared" si="54"/>
        <v>0</v>
      </c>
    </row>
    <row r="226" spans="1:28" x14ac:dyDescent="0.2">
      <c r="A226" s="8">
        <v>10550</v>
      </c>
      <c r="B226" s="77" t="str">
        <f t="shared" si="55"/>
        <v>Bega Valley</v>
      </c>
      <c r="C226" s="9" t="str">
        <f t="shared" si="56"/>
        <v>CRJO</v>
      </c>
      <c r="D226" s="45" t="str">
        <f t="shared" si="57"/>
        <v>N</v>
      </c>
      <c r="E226" s="10" t="str">
        <f t="shared" si="58"/>
        <v>CRJO</v>
      </c>
      <c r="F226" s="10">
        <f t="shared" si="49"/>
        <v>0</v>
      </c>
      <c r="G226" s="10">
        <f t="shared" si="49"/>
        <v>0</v>
      </c>
      <c r="H226" s="10">
        <f t="shared" si="49"/>
        <v>0</v>
      </c>
      <c r="I226" s="660"/>
      <c r="J226" s="10">
        <f t="shared" si="50"/>
        <v>0</v>
      </c>
      <c r="K226" s="10">
        <f t="shared" si="50"/>
        <v>0</v>
      </c>
      <c r="L226" s="10">
        <f t="shared" si="50"/>
        <v>0</v>
      </c>
      <c r="M226" s="660"/>
      <c r="N226" s="10">
        <f t="shared" si="51"/>
        <v>0</v>
      </c>
      <c r="O226" s="10">
        <f t="shared" si="51"/>
        <v>0</v>
      </c>
      <c r="P226" s="10">
        <f t="shared" si="51"/>
        <v>0</v>
      </c>
      <c r="Q226" s="660"/>
      <c r="R226" s="10">
        <f t="shared" si="52"/>
        <v>0</v>
      </c>
      <c r="S226" s="10">
        <f t="shared" si="52"/>
        <v>0</v>
      </c>
      <c r="T226" s="10">
        <f t="shared" si="52"/>
        <v>0</v>
      </c>
      <c r="U226" s="660"/>
      <c r="V226" s="10">
        <f t="shared" si="53"/>
        <v>0</v>
      </c>
      <c r="W226" s="10">
        <f t="shared" si="53"/>
        <v>0</v>
      </c>
      <c r="X226" s="10">
        <f t="shared" si="53"/>
        <v>0</v>
      </c>
      <c r="Y226" s="660"/>
      <c r="Z226" s="10">
        <f t="shared" si="54"/>
        <v>0</v>
      </c>
      <c r="AA226" s="10">
        <f t="shared" si="54"/>
        <v>0</v>
      </c>
      <c r="AB226" s="10">
        <f t="shared" si="54"/>
        <v>0</v>
      </c>
    </row>
    <row r="227" spans="1:28" x14ac:dyDescent="0.2">
      <c r="A227" s="8">
        <v>10650</v>
      </c>
      <c r="B227" s="77" t="str">
        <f t="shared" si="55"/>
        <v>Berrigan</v>
      </c>
      <c r="C227" s="9" t="str">
        <f t="shared" si="56"/>
        <v>RAMJO Murray</v>
      </c>
      <c r="D227" s="45" t="str">
        <f t="shared" si="57"/>
        <v>N</v>
      </c>
      <c r="E227" s="10" t="str">
        <f t="shared" si="58"/>
        <v>RMJO</v>
      </c>
      <c r="F227" s="10">
        <f t="shared" si="49"/>
        <v>0</v>
      </c>
      <c r="G227" s="10">
        <f t="shared" si="49"/>
        <v>0</v>
      </c>
      <c r="H227" s="10">
        <f t="shared" si="49"/>
        <v>0</v>
      </c>
      <c r="I227" s="660"/>
      <c r="J227" s="10">
        <f t="shared" si="50"/>
        <v>0</v>
      </c>
      <c r="K227" s="10">
        <f t="shared" si="50"/>
        <v>0</v>
      </c>
      <c r="L227" s="10">
        <f t="shared" si="50"/>
        <v>0</v>
      </c>
      <c r="M227" s="660"/>
      <c r="N227" s="10">
        <f t="shared" si="51"/>
        <v>0</v>
      </c>
      <c r="O227" s="10">
        <f t="shared" si="51"/>
        <v>0</v>
      </c>
      <c r="P227" s="10">
        <f t="shared" si="51"/>
        <v>0</v>
      </c>
      <c r="Q227" s="660"/>
      <c r="R227" s="10">
        <f t="shared" si="52"/>
        <v>0</v>
      </c>
      <c r="S227" s="10">
        <f t="shared" si="52"/>
        <v>0</v>
      </c>
      <c r="T227" s="10">
        <f t="shared" si="52"/>
        <v>0</v>
      </c>
      <c r="U227" s="660"/>
      <c r="V227" s="10">
        <f t="shared" si="53"/>
        <v>0</v>
      </c>
      <c r="W227" s="10">
        <f t="shared" si="53"/>
        <v>0</v>
      </c>
      <c r="X227" s="10">
        <f t="shared" si="53"/>
        <v>0</v>
      </c>
      <c r="Y227" s="660"/>
      <c r="Z227" s="10">
        <f t="shared" si="54"/>
        <v>0</v>
      </c>
      <c r="AA227" s="10">
        <f t="shared" si="54"/>
        <v>0</v>
      </c>
      <c r="AB227" s="10">
        <f t="shared" si="54"/>
        <v>0</v>
      </c>
    </row>
    <row r="228" spans="1:28" x14ac:dyDescent="0.2">
      <c r="A228" s="8">
        <v>10800</v>
      </c>
      <c r="B228" s="77" t="str">
        <f t="shared" si="55"/>
        <v>Bland</v>
      </c>
      <c r="C228" s="9" t="str">
        <f t="shared" si="56"/>
        <v>REROC</v>
      </c>
      <c r="D228" s="45" t="str">
        <f t="shared" si="57"/>
        <v>N</v>
      </c>
      <c r="E228" s="10" t="str">
        <f t="shared" si="58"/>
        <v>RJO</v>
      </c>
      <c r="F228" s="10">
        <f t="shared" si="49"/>
        <v>0</v>
      </c>
      <c r="G228" s="10">
        <f t="shared" si="49"/>
        <v>0</v>
      </c>
      <c r="H228" s="10">
        <f t="shared" si="49"/>
        <v>0</v>
      </c>
      <c r="I228" s="660"/>
      <c r="J228" s="10">
        <f t="shared" si="50"/>
        <v>0</v>
      </c>
      <c r="K228" s="10">
        <f t="shared" si="50"/>
        <v>0</v>
      </c>
      <c r="L228" s="10">
        <f t="shared" si="50"/>
        <v>0</v>
      </c>
      <c r="M228" s="660"/>
      <c r="N228" s="10">
        <f t="shared" si="51"/>
        <v>0</v>
      </c>
      <c r="O228" s="10">
        <f t="shared" si="51"/>
        <v>0</v>
      </c>
      <c r="P228" s="10">
        <f t="shared" si="51"/>
        <v>0</v>
      </c>
      <c r="Q228" s="660"/>
      <c r="R228" s="10">
        <f t="shared" si="52"/>
        <v>0</v>
      </c>
      <c r="S228" s="10">
        <f t="shared" si="52"/>
        <v>0</v>
      </c>
      <c r="T228" s="10">
        <f t="shared" si="52"/>
        <v>0</v>
      </c>
      <c r="U228" s="660"/>
      <c r="V228" s="10">
        <f t="shared" si="53"/>
        <v>0</v>
      </c>
      <c r="W228" s="10">
        <f t="shared" si="53"/>
        <v>0</v>
      </c>
      <c r="X228" s="10">
        <f t="shared" si="53"/>
        <v>0</v>
      </c>
      <c r="Y228" s="660"/>
      <c r="Z228" s="10">
        <f t="shared" si="54"/>
        <v>0</v>
      </c>
      <c r="AA228" s="10">
        <f t="shared" si="54"/>
        <v>0</v>
      </c>
      <c r="AB228" s="10">
        <f t="shared" si="54"/>
        <v>0</v>
      </c>
    </row>
    <row r="229" spans="1:28" x14ac:dyDescent="0.2">
      <c r="A229" s="8">
        <v>10850</v>
      </c>
      <c r="B229" s="77" t="str">
        <f t="shared" si="55"/>
        <v>Blayney</v>
      </c>
      <c r="C229" s="9" t="str">
        <f t="shared" si="56"/>
        <v>NetWaste</v>
      </c>
      <c r="D229" s="45" t="str">
        <f t="shared" si="57"/>
        <v>N</v>
      </c>
      <c r="E229" s="10" t="str">
        <f t="shared" si="58"/>
        <v>CNJO</v>
      </c>
      <c r="F229" s="10">
        <f t="shared" si="49"/>
        <v>136</v>
      </c>
      <c r="G229" s="10">
        <f t="shared" si="49"/>
        <v>136</v>
      </c>
      <c r="H229" s="10">
        <f t="shared" si="49"/>
        <v>0</v>
      </c>
      <c r="I229" s="660"/>
      <c r="J229" s="10">
        <f t="shared" si="50"/>
        <v>0</v>
      </c>
      <c r="K229" s="10">
        <f t="shared" si="50"/>
        <v>0</v>
      </c>
      <c r="L229" s="10">
        <f t="shared" si="50"/>
        <v>0</v>
      </c>
      <c r="M229" s="660"/>
      <c r="N229" s="10">
        <f t="shared" si="51"/>
        <v>0</v>
      </c>
      <c r="O229" s="10">
        <f t="shared" si="51"/>
        <v>0</v>
      </c>
      <c r="P229" s="10">
        <f t="shared" si="51"/>
        <v>0</v>
      </c>
      <c r="Q229" s="660"/>
      <c r="R229" s="10">
        <f t="shared" si="52"/>
        <v>0</v>
      </c>
      <c r="S229" s="10">
        <f t="shared" si="52"/>
        <v>0</v>
      </c>
      <c r="T229" s="10">
        <f t="shared" si="52"/>
        <v>0</v>
      </c>
      <c r="U229" s="660"/>
      <c r="V229" s="10">
        <f t="shared" si="53"/>
        <v>0</v>
      </c>
      <c r="W229" s="10">
        <f t="shared" si="53"/>
        <v>0</v>
      </c>
      <c r="X229" s="10">
        <f t="shared" si="53"/>
        <v>0</v>
      </c>
      <c r="Y229" s="660"/>
      <c r="Z229" s="10">
        <f t="shared" si="54"/>
        <v>0</v>
      </c>
      <c r="AA229" s="10">
        <f t="shared" si="54"/>
        <v>0</v>
      </c>
      <c r="AB229" s="10">
        <f t="shared" si="54"/>
        <v>0</v>
      </c>
    </row>
    <row r="230" spans="1:28" x14ac:dyDescent="0.2">
      <c r="A230" s="8">
        <v>10950</v>
      </c>
      <c r="B230" s="77" t="str">
        <f t="shared" si="55"/>
        <v>Bogan</v>
      </c>
      <c r="C230" s="9" t="str">
        <f t="shared" si="56"/>
        <v>NetWaste</v>
      </c>
      <c r="D230" s="45" t="str">
        <f t="shared" si="57"/>
        <v>N</v>
      </c>
      <c r="E230" s="10" t="str">
        <f t="shared" si="58"/>
        <v>OJO</v>
      </c>
      <c r="F230" s="10">
        <f t="shared" si="49"/>
        <v>0</v>
      </c>
      <c r="G230" s="10">
        <f t="shared" si="49"/>
        <v>0</v>
      </c>
      <c r="H230" s="10">
        <f t="shared" si="49"/>
        <v>0</v>
      </c>
      <c r="I230" s="660"/>
      <c r="J230" s="10">
        <f t="shared" si="50"/>
        <v>0</v>
      </c>
      <c r="K230" s="10">
        <f t="shared" si="50"/>
        <v>0</v>
      </c>
      <c r="L230" s="10">
        <f t="shared" si="50"/>
        <v>0</v>
      </c>
      <c r="M230" s="660"/>
      <c r="N230" s="10">
        <f t="shared" si="51"/>
        <v>0</v>
      </c>
      <c r="O230" s="10">
        <f t="shared" si="51"/>
        <v>0</v>
      </c>
      <c r="P230" s="10">
        <f t="shared" si="51"/>
        <v>0</v>
      </c>
      <c r="Q230" s="660"/>
      <c r="R230" s="10">
        <f t="shared" si="52"/>
        <v>0</v>
      </c>
      <c r="S230" s="10">
        <f t="shared" si="52"/>
        <v>0</v>
      </c>
      <c r="T230" s="10">
        <f t="shared" si="52"/>
        <v>0</v>
      </c>
      <c r="U230" s="660"/>
      <c r="V230" s="10">
        <f t="shared" si="53"/>
        <v>0</v>
      </c>
      <c r="W230" s="10">
        <f t="shared" si="53"/>
        <v>0</v>
      </c>
      <c r="X230" s="10">
        <f t="shared" si="53"/>
        <v>0</v>
      </c>
      <c r="Y230" s="660"/>
      <c r="Z230" s="10">
        <f t="shared" si="54"/>
        <v>0</v>
      </c>
      <c r="AA230" s="10">
        <f t="shared" si="54"/>
        <v>0</v>
      </c>
      <c r="AB230" s="10">
        <f t="shared" si="54"/>
        <v>0</v>
      </c>
    </row>
    <row r="231" spans="1:28" x14ac:dyDescent="0.2">
      <c r="A231" s="8">
        <v>11150</v>
      </c>
      <c r="B231" s="77" t="str">
        <f t="shared" si="55"/>
        <v>Bourke</v>
      </c>
      <c r="C231" s="9" t="str">
        <f t="shared" si="56"/>
        <v>NetWaste</v>
      </c>
      <c r="D231" s="45" t="str">
        <f t="shared" si="57"/>
        <v>N</v>
      </c>
      <c r="E231" s="10" t="str">
        <f t="shared" si="58"/>
        <v>FNWJO</v>
      </c>
      <c r="F231" s="10">
        <f t="shared" si="49"/>
        <v>0</v>
      </c>
      <c r="G231" s="10">
        <f t="shared" si="49"/>
        <v>0</v>
      </c>
      <c r="H231" s="10">
        <f t="shared" si="49"/>
        <v>0</v>
      </c>
      <c r="I231" s="660"/>
      <c r="J231" s="10">
        <f t="shared" si="50"/>
        <v>0</v>
      </c>
      <c r="K231" s="10">
        <f t="shared" si="50"/>
        <v>0</v>
      </c>
      <c r="L231" s="10">
        <f t="shared" si="50"/>
        <v>0</v>
      </c>
      <c r="M231" s="660"/>
      <c r="N231" s="10">
        <f t="shared" si="51"/>
        <v>0</v>
      </c>
      <c r="O231" s="10">
        <f t="shared" si="51"/>
        <v>0</v>
      </c>
      <c r="P231" s="10">
        <f t="shared" si="51"/>
        <v>0</v>
      </c>
      <c r="Q231" s="660"/>
      <c r="R231" s="10">
        <f t="shared" si="52"/>
        <v>0</v>
      </c>
      <c r="S231" s="10">
        <f t="shared" si="52"/>
        <v>0</v>
      </c>
      <c r="T231" s="10">
        <f t="shared" si="52"/>
        <v>0</v>
      </c>
      <c r="U231" s="660"/>
      <c r="V231" s="10">
        <f t="shared" si="53"/>
        <v>0</v>
      </c>
      <c r="W231" s="10">
        <f t="shared" si="53"/>
        <v>0</v>
      </c>
      <c r="X231" s="10">
        <f t="shared" si="53"/>
        <v>0</v>
      </c>
      <c r="Y231" s="660"/>
      <c r="Z231" s="10">
        <f t="shared" si="54"/>
        <v>0</v>
      </c>
      <c r="AA231" s="10">
        <f t="shared" si="54"/>
        <v>0</v>
      </c>
      <c r="AB231" s="10">
        <f t="shared" si="54"/>
        <v>0</v>
      </c>
    </row>
    <row r="232" spans="1:28" x14ac:dyDescent="0.2">
      <c r="A232" s="8">
        <v>11200</v>
      </c>
      <c r="B232" s="77" t="str">
        <f t="shared" si="55"/>
        <v>Brewarrina</v>
      </c>
      <c r="C232" s="9" t="str">
        <f t="shared" si="56"/>
        <v>NetWaste</v>
      </c>
      <c r="D232" s="45" t="str">
        <f t="shared" si="57"/>
        <v>N</v>
      </c>
      <c r="E232" s="10">
        <f t="shared" si="58"/>
        <v>0</v>
      </c>
      <c r="F232" s="10">
        <f t="shared" si="49"/>
        <v>20</v>
      </c>
      <c r="G232" s="10">
        <f t="shared" si="49"/>
        <v>0</v>
      </c>
      <c r="H232" s="10">
        <f t="shared" si="49"/>
        <v>20</v>
      </c>
      <c r="I232" s="660"/>
      <c r="J232" s="10">
        <f t="shared" si="50"/>
        <v>1</v>
      </c>
      <c r="K232" s="10">
        <f t="shared" si="50"/>
        <v>1</v>
      </c>
      <c r="L232" s="10">
        <f t="shared" si="50"/>
        <v>0</v>
      </c>
      <c r="M232" s="660"/>
      <c r="N232" s="10">
        <f t="shared" si="51"/>
        <v>20</v>
      </c>
      <c r="O232" s="10">
        <f t="shared" si="51"/>
        <v>20</v>
      </c>
      <c r="P232" s="10">
        <f t="shared" si="51"/>
        <v>0</v>
      </c>
      <c r="Q232" s="660"/>
      <c r="R232" s="10">
        <f t="shared" si="52"/>
        <v>1</v>
      </c>
      <c r="S232" s="10">
        <f t="shared" si="52"/>
        <v>1</v>
      </c>
      <c r="T232" s="10">
        <f t="shared" si="52"/>
        <v>0</v>
      </c>
      <c r="U232" s="660"/>
      <c r="V232" s="10">
        <f t="shared" si="53"/>
        <v>0</v>
      </c>
      <c r="W232" s="10">
        <f t="shared" si="53"/>
        <v>0</v>
      </c>
      <c r="X232" s="10">
        <f t="shared" si="53"/>
        <v>0</v>
      </c>
      <c r="Y232" s="660"/>
      <c r="Z232" s="10">
        <f t="shared" si="54"/>
        <v>0</v>
      </c>
      <c r="AA232" s="10">
        <f t="shared" si="54"/>
        <v>0</v>
      </c>
      <c r="AB232" s="10">
        <f t="shared" si="54"/>
        <v>0</v>
      </c>
    </row>
    <row r="233" spans="1:28" x14ac:dyDescent="0.2">
      <c r="A233" s="8">
        <v>11250</v>
      </c>
      <c r="B233" s="77" t="str">
        <f t="shared" si="55"/>
        <v>Broken Hill</v>
      </c>
      <c r="C233" s="9" t="str">
        <f t="shared" si="56"/>
        <v>NetWaste</v>
      </c>
      <c r="D233" s="45" t="str">
        <f t="shared" si="57"/>
        <v>N</v>
      </c>
      <c r="E233" s="10" t="str">
        <f t="shared" si="58"/>
        <v>FSWJO</v>
      </c>
      <c r="F233" s="10">
        <f t="shared" si="49"/>
        <v>0</v>
      </c>
      <c r="G233" s="10">
        <f t="shared" si="49"/>
        <v>0</v>
      </c>
      <c r="H233" s="10">
        <f t="shared" si="49"/>
        <v>0</v>
      </c>
      <c r="I233" s="660"/>
      <c r="J233" s="10">
        <f t="shared" si="50"/>
        <v>0</v>
      </c>
      <c r="K233" s="10">
        <f t="shared" si="50"/>
        <v>0</v>
      </c>
      <c r="L233" s="10">
        <f t="shared" si="50"/>
        <v>0</v>
      </c>
      <c r="M233" s="660"/>
      <c r="N233" s="10">
        <f t="shared" si="51"/>
        <v>0</v>
      </c>
      <c r="O233" s="10">
        <f t="shared" si="51"/>
        <v>0</v>
      </c>
      <c r="P233" s="10">
        <f t="shared" si="51"/>
        <v>0</v>
      </c>
      <c r="Q233" s="660"/>
      <c r="R233" s="10">
        <f t="shared" si="52"/>
        <v>0</v>
      </c>
      <c r="S233" s="10">
        <f t="shared" si="52"/>
        <v>0</v>
      </c>
      <c r="T233" s="10">
        <f t="shared" si="52"/>
        <v>0</v>
      </c>
      <c r="U233" s="660"/>
      <c r="V233" s="10">
        <f t="shared" si="53"/>
        <v>0</v>
      </c>
      <c r="W233" s="10">
        <f t="shared" si="53"/>
        <v>0</v>
      </c>
      <c r="X233" s="10">
        <f t="shared" si="53"/>
        <v>0</v>
      </c>
      <c r="Y233" s="660"/>
      <c r="Z233" s="10">
        <f t="shared" si="54"/>
        <v>0</v>
      </c>
      <c r="AA233" s="10">
        <f t="shared" si="54"/>
        <v>0</v>
      </c>
      <c r="AB233" s="10">
        <f t="shared" si="54"/>
        <v>0</v>
      </c>
    </row>
    <row r="234" spans="1:28" x14ac:dyDescent="0.2">
      <c r="A234" s="8">
        <v>11400</v>
      </c>
      <c r="B234" s="77" t="str">
        <f t="shared" si="55"/>
        <v>Cabonne</v>
      </c>
      <c r="C234" s="9" t="str">
        <f t="shared" si="56"/>
        <v>NetWaste</v>
      </c>
      <c r="D234" s="45" t="str">
        <f t="shared" si="57"/>
        <v>N</v>
      </c>
      <c r="E234" s="10" t="str">
        <f t="shared" si="58"/>
        <v>CNJO</v>
      </c>
      <c r="F234" s="10">
        <f t="shared" si="49"/>
        <v>108</v>
      </c>
      <c r="G234" s="10">
        <f t="shared" si="49"/>
        <v>0</v>
      </c>
      <c r="H234" s="10">
        <f t="shared" si="49"/>
        <v>108</v>
      </c>
      <c r="I234" s="660"/>
      <c r="J234" s="10">
        <f t="shared" si="50"/>
        <v>0</v>
      </c>
      <c r="K234" s="10">
        <f t="shared" si="50"/>
        <v>0</v>
      </c>
      <c r="L234" s="10">
        <f t="shared" si="50"/>
        <v>0</v>
      </c>
      <c r="M234" s="660"/>
      <c r="N234" s="10">
        <f t="shared" si="51"/>
        <v>34</v>
      </c>
      <c r="O234" s="10">
        <f t="shared" si="51"/>
        <v>34</v>
      </c>
      <c r="P234" s="10">
        <f t="shared" si="51"/>
        <v>0</v>
      </c>
      <c r="Q234" s="660"/>
      <c r="R234" s="10">
        <f t="shared" si="52"/>
        <v>0</v>
      </c>
      <c r="S234" s="10">
        <f t="shared" si="52"/>
        <v>0</v>
      </c>
      <c r="T234" s="10">
        <f t="shared" si="52"/>
        <v>0</v>
      </c>
      <c r="U234" s="660"/>
      <c r="V234" s="10">
        <f t="shared" si="53"/>
        <v>0</v>
      </c>
      <c r="W234" s="10">
        <f t="shared" si="53"/>
        <v>0</v>
      </c>
      <c r="X234" s="10">
        <f t="shared" si="53"/>
        <v>0</v>
      </c>
      <c r="Y234" s="660"/>
      <c r="Z234" s="10">
        <f t="shared" si="54"/>
        <v>0</v>
      </c>
      <c r="AA234" s="10">
        <f t="shared" si="54"/>
        <v>0</v>
      </c>
      <c r="AB234" s="10">
        <f t="shared" si="54"/>
        <v>0</v>
      </c>
    </row>
    <row r="235" spans="1:28" x14ac:dyDescent="0.2">
      <c r="A235" s="8">
        <v>11600</v>
      </c>
      <c r="B235" s="77" t="str">
        <f t="shared" si="55"/>
        <v>Carrathool</v>
      </c>
      <c r="C235" s="9" t="str">
        <f t="shared" si="56"/>
        <v>RAMJO Riverina</v>
      </c>
      <c r="D235" s="45" t="str">
        <f t="shared" si="57"/>
        <v>N</v>
      </c>
      <c r="E235" s="10" t="str">
        <f t="shared" si="58"/>
        <v>RMJO</v>
      </c>
      <c r="F235" s="10">
        <f t="shared" si="49"/>
        <v>0</v>
      </c>
      <c r="G235" s="10">
        <f t="shared" si="49"/>
        <v>0</v>
      </c>
      <c r="H235" s="10">
        <f t="shared" si="49"/>
        <v>0</v>
      </c>
      <c r="I235" s="660"/>
      <c r="J235" s="10">
        <f t="shared" si="50"/>
        <v>0</v>
      </c>
      <c r="K235" s="10">
        <f t="shared" si="50"/>
        <v>0</v>
      </c>
      <c r="L235" s="10">
        <f t="shared" si="50"/>
        <v>0</v>
      </c>
      <c r="M235" s="660"/>
      <c r="N235" s="10">
        <f t="shared" si="51"/>
        <v>0</v>
      </c>
      <c r="O235" s="10">
        <f t="shared" si="51"/>
        <v>0</v>
      </c>
      <c r="P235" s="10">
        <f t="shared" si="51"/>
        <v>0</v>
      </c>
      <c r="Q235" s="660"/>
      <c r="R235" s="10">
        <f t="shared" si="52"/>
        <v>0</v>
      </c>
      <c r="S235" s="10">
        <f t="shared" si="52"/>
        <v>0</v>
      </c>
      <c r="T235" s="10">
        <f t="shared" si="52"/>
        <v>0</v>
      </c>
      <c r="U235" s="660"/>
      <c r="V235" s="10">
        <f t="shared" si="53"/>
        <v>0</v>
      </c>
      <c r="W235" s="10">
        <f t="shared" si="53"/>
        <v>0</v>
      </c>
      <c r="X235" s="10">
        <f t="shared" si="53"/>
        <v>0</v>
      </c>
      <c r="Y235" s="660"/>
      <c r="Z235" s="10">
        <f t="shared" si="54"/>
        <v>0</v>
      </c>
      <c r="AA235" s="10">
        <f t="shared" si="54"/>
        <v>0</v>
      </c>
      <c r="AB235" s="10">
        <f t="shared" si="54"/>
        <v>0</v>
      </c>
    </row>
    <row r="236" spans="1:28" x14ac:dyDescent="0.2">
      <c r="A236" s="8">
        <v>11700</v>
      </c>
      <c r="B236" s="77" t="str">
        <f t="shared" si="55"/>
        <v>Central Darling</v>
      </c>
      <c r="C236" s="9" t="str">
        <f t="shared" si="56"/>
        <v>NetWaste</v>
      </c>
      <c r="D236" s="45" t="str">
        <f t="shared" si="57"/>
        <v>N</v>
      </c>
      <c r="E236" s="10" t="str">
        <f t="shared" si="58"/>
        <v>FSWJO</v>
      </c>
      <c r="F236" s="10">
        <f t="shared" si="49"/>
        <v>10</v>
      </c>
      <c r="G236" s="10">
        <f t="shared" si="49"/>
        <v>10</v>
      </c>
      <c r="H236" s="10">
        <f t="shared" si="49"/>
        <v>0</v>
      </c>
      <c r="I236" s="660"/>
      <c r="J236" s="10">
        <f t="shared" si="50"/>
        <v>1</v>
      </c>
      <c r="K236" s="10">
        <f t="shared" si="50"/>
        <v>1</v>
      </c>
      <c r="L236" s="10">
        <f t="shared" si="50"/>
        <v>0</v>
      </c>
      <c r="M236" s="660"/>
      <c r="N236" s="10">
        <f t="shared" si="51"/>
        <v>7</v>
      </c>
      <c r="O236" s="10">
        <f t="shared" si="51"/>
        <v>7</v>
      </c>
      <c r="P236" s="10">
        <f t="shared" si="51"/>
        <v>0</v>
      </c>
      <c r="Q236" s="660"/>
      <c r="R236" s="10">
        <f t="shared" si="52"/>
        <v>2</v>
      </c>
      <c r="S236" s="10">
        <f t="shared" si="52"/>
        <v>2</v>
      </c>
      <c r="T236" s="10">
        <f t="shared" si="52"/>
        <v>0</v>
      </c>
      <c r="U236" s="660"/>
      <c r="V236" s="10">
        <f t="shared" si="53"/>
        <v>0</v>
      </c>
      <c r="W236" s="10">
        <f t="shared" si="53"/>
        <v>0</v>
      </c>
      <c r="X236" s="10">
        <f t="shared" si="53"/>
        <v>0</v>
      </c>
      <c r="Y236" s="660"/>
      <c r="Z236" s="10">
        <f t="shared" si="54"/>
        <v>0</v>
      </c>
      <c r="AA236" s="10">
        <f t="shared" si="54"/>
        <v>0</v>
      </c>
      <c r="AB236" s="10">
        <f t="shared" si="54"/>
        <v>0</v>
      </c>
    </row>
    <row r="237" spans="1:28" x14ac:dyDescent="0.2">
      <c r="A237" s="8">
        <v>11750</v>
      </c>
      <c r="B237" s="77" t="str">
        <f t="shared" si="55"/>
        <v>Cobar</v>
      </c>
      <c r="C237" s="9" t="str">
        <f t="shared" si="56"/>
        <v>NetWaste</v>
      </c>
      <c r="D237" s="45" t="str">
        <f t="shared" si="57"/>
        <v>N</v>
      </c>
      <c r="E237" s="10" t="str">
        <f t="shared" si="58"/>
        <v>FNWJO</v>
      </c>
      <c r="F237" s="10">
        <f t="shared" si="49"/>
        <v>0</v>
      </c>
      <c r="G237" s="10">
        <f t="shared" si="49"/>
        <v>0</v>
      </c>
      <c r="H237" s="10">
        <f t="shared" si="49"/>
        <v>0</v>
      </c>
      <c r="I237" s="660"/>
      <c r="J237" s="10">
        <f t="shared" si="50"/>
        <v>0</v>
      </c>
      <c r="K237" s="10">
        <f t="shared" si="50"/>
        <v>0</v>
      </c>
      <c r="L237" s="10">
        <f t="shared" si="50"/>
        <v>0</v>
      </c>
      <c r="M237" s="660"/>
      <c r="N237" s="10">
        <f t="shared" si="51"/>
        <v>0</v>
      </c>
      <c r="O237" s="10">
        <f t="shared" si="51"/>
        <v>0</v>
      </c>
      <c r="P237" s="10">
        <f t="shared" si="51"/>
        <v>0</v>
      </c>
      <c r="Q237" s="660"/>
      <c r="R237" s="10">
        <f t="shared" si="52"/>
        <v>0</v>
      </c>
      <c r="S237" s="10">
        <f t="shared" si="52"/>
        <v>0</v>
      </c>
      <c r="T237" s="10">
        <f t="shared" si="52"/>
        <v>0</v>
      </c>
      <c r="U237" s="660"/>
      <c r="V237" s="10">
        <f t="shared" si="53"/>
        <v>0</v>
      </c>
      <c r="W237" s="10">
        <f t="shared" si="53"/>
        <v>0</v>
      </c>
      <c r="X237" s="10">
        <f t="shared" si="53"/>
        <v>0</v>
      </c>
      <c r="Y237" s="660"/>
      <c r="Z237" s="10">
        <f t="shared" si="54"/>
        <v>0</v>
      </c>
      <c r="AA237" s="10">
        <f t="shared" si="54"/>
        <v>0</v>
      </c>
      <c r="AB237" s="10">
        <f t="shared" si="54"/>
        <v>0</v>
      </c>
    </row>
    <row r="238" spans="1:28" x14ac:dyDescent="0.2">
      <c r="A238" s="8">
        <v>12000</v>
      </c>
      <c r="B238" s="77" t="str">
        <f t="shared" si="55"/>
        <v>Coolamon</v>
      </c>
      <c r="C238" s="9" t="str">
        <f t="shared" si="56"/>
        <v>REROC</v>
      </c>
      <c r="D238" s="45" t="str">
        <f t="shared" si="57"/>
        <v>N</v>
      </c>
      <c r="E238" s="10" t="str">
        <f t="shared" si="58"/>
        <v>RJO</v>
      </c>
      <c r="F238" s="10">
        <f t="shared" si="49"/>
        <v>65</v>
      </c>
      <c r="G238" s="10">
        <f t="shared" si="49"/>
        <v>0</v>
      </c>
      <c r="H238" s="10">
        <f t="shared" si="49"/>
        <v>65</v>
      </c>
      <c r="I238" s="660"/>
      <c r="J238" s="10">
        <f t="shared" si="50"/>
        <v>0</v>
      </c>
      <c r="K238" s="10">
        <f t="shared" si="50"/>
        <v>0</v>
      </c>
      <c r="L238" s="10">
        <f t="shared" si="50"/>
        <v>0</v>
      </c>
      <c r="M238" s="660"/>
      <c r="N238" s="10">
        <f t="shared" si="51"/>
        <v>62</v>
      </c>
      <c r="O238" s="10">
        <f t="shared" si="51"/>
        <v>62</v>
      </c>
      <c r="P238" s="10">
        <f t="shared" si="51"/>
        <v>0</v>
      </c>
      <c r="Q238" s="660"/>
      <c r="R238" s="10">
        <f t="shared" si="52"/>
        <v>0</v>
      </c>
      <c r="S238" s="10">
        <f t="shared" si="52"/>
        <v>0</v>
      </c>
      <c r="T238" s="10">
        <f t="shared" si="52"/>
        <v>0</v>
      </c>
      <c r="U238" s="660"/>
      <c r="V238" s="10">
        <f t="shared" si="53"/>
        <v>0</v>
      </c>
      <c r="W238" s="10">
        <f t="shared" si="53"/>
        <v>0</v>
      </c>
      <c r="X238" s="10">
        <f t="shared" si="53"/>
        <v>0</v>
      </c>
      <c r="Y238" s="660"/>
      <c r="Z238" s="10">
        <f t="shared" si="54"/>
        <v>30</v>
      </c>
      <c r="AA238" s="10">
        <f t="shared" si="54"/>
        <v>30</v>
      </c>
      <c r="AB238" s="10">
        <f t="shared" si="54"/>
        <v>0</v>
      </c>
    </row>
    <row r="239" spans="1:28" x14ac:dyDescent="0.2">
      <c r="A239" s="8">
        <v>12150</v>
      </c>
      <c r="B239" s="77" t="str">
        <f t="shared" si="55"/>
        <v>Coonamble</v>
      </c>
      <c r="C239" s="9" t="str">
        <f t="shared" si="56"/>
        <v>NetWaste</v>
      </c>
      <c r="D239" s="45" t="str">
        <f t="shared" si="57"/>
        <v>N</v>
      </c>
      <c r="E239" s="10">
        <f t="shared" si="58"/>
        <v>0</v>
      </c>
      <c r="F239" s="10">
        <f t="shared" si="49"/>
        <v>0</v>
      </c>
      <c r="G239" s="10">
        <f t="shared" si="49"/>
        <v>0</v>
      </c>
      <c r="H239" s="10">
        <f t="shared" si="49"/>
        <v>0</v>
      </c>
      <c r="I239" s="660"/>
      <c r="J239" s="10">
        <f t="shared" si="50"/>
        <v>0</v>
      </c>
      <c r="K239" s="10">
        <f t="shared" si="50"/>
        <v>0</v>
      </c>
      <c r="L239" s="10">
        <f t="shared" si="50"/>
        <v>0</v>
      </c>
      <c r="M239" s="660"/>
      <c r="N239" s="10">
        <f t="shared" si="51"/>
        <v>0</v>
      </c>
      <c r="O239" s="10">
        <f t="shared" si="51"/>
        <v>0</v>
      </c>
      <c r="P239" s="10">
        <f t="shared" si="51"/>
        <v>0</v>
      </c>
      <c r="Q239" s="660"/>
      <c r="R239" s="10">
        <f t="shared" si="52"/>
        <v>0</v>
      </c>
      <c r="S239" s="10">
        <f t="shared" si="52"/>
        <v>0</v>
      </c>
      <c r="T239" s="10">
        <f t="shared" si="52"/>
        <v>0</v>
      </c>
      <c r="U239" s="660"/>
      <c r="V239" s="10">
        <f t="shared" si="53"/>
        <v>0</v>
      </c>
      <c r="W239" s="10">
        <f t="shared" si="53"/>
        <v>0</v>
      </c>
      <c r="X239" s="10">
        <f t="shared" si="53"/>
        <v>0</v>
      </c>
      <c r="Y239" s="660"/>
      <c r="Z239" s="10">
        <f t="shared" si="54"/>
        <v>0</v>
      </c>
      <c r="AA239" s="10">
        <f t="shared" si="54"/>
        <v>0</v>
      </c>
      <c r="AB239" s="10">
        <f t="shared" si="54"/>
        <v>0</v>
      </c>
    </row>
    <row r="240" spans="1:28" x14ac:dyDescent="0.2">
      <c r="A240" s="649">
        <v>12160</v>
      </c>
      <c r="B240" s="77" t="str">
        <f t="shared" si="55"/>
        <v>Cootamundra - Gundagai</v>
      </c>
      <c r="C240" s="9" t="str">
        <f t="shared" si="56"/>
        <v>REROC</v>
      </c>
      <c r="D240" s="45" t="str">
        <f t="shared" si="57"/>
        <v>N</v>
      </c>
      <c r="E240" s="10" t="str">
        <f t="shared" si="58"/>
        <v>RJO</v>
      </c>
      <c r="F240" s="10">
        <f t="shared" si="49"/>
        <v>0</v>
      </c>
      <c r="G240" s="10">
        <f t="shared" si="49"/>
        <v>0</v>
      </c>
      <c r="H240" s="10">
        <f t="shared" si="49"/>
        <v>0</v>
      </c>
      <c r="I240" s="660"/>
      <c r="J240" s="10">
        <f t="shared" si="50"/>
        <v>0</v>
      </c>
      <c r="K240" s="10">
        <f t="shared" si="50"/>
        <v>0</v>
      </c>
      <c r="L240" s="10">
        <f t="shared" si="50"/>
        <v>0</v>
      </c>
      <c r="M240" s="660"/>
      <c r="N240" s="10">
        <f t="shared" si="51"/>
        <v>0</v>
      </c>
      <c r="O240" s="10">
        <f t="shared" si="51"/>
        <v>0</v>
      </c>
      <c r="P240" s="10">
        <f t="shared" si="51"/>
        <v>0</v>
      </c>
      <c r="Q240" s="660"/>
      <c r="R240" s="10">
        <f t="shared" si="52"/>
        <v>0</v>
      </c>
      <c r="S240" s="10">
        <f t="shared" si="52"/>
        <v>0</v>
      </c>
      <c r="T240" s="10">
        <f t="shared" si="52"/>
        <v>0</v>
      </c>
      <c r="U240" s="660"/>
      <c r="V240" s="10">
        <f t="shared" si="53"/>
        <v>0</v>
      </c>
      <c r="W240" s="10">
        <f t="shared" si="53"/>
        <v>0</v>
      </c>
      <c r="X240" s="10">
        <f t="shared" si="53"/>
        <v>0</v>
      </c>
      <c r="Y240" s="660"/>
      <c r="Z240" s="10">
        <f t="shared" si="54"/>
        <v>0</v>
      </c>
      <c r="AA240" s="10">
        <f t="shared" si="54"/>
        <v>0</v>
      </c>
      <c r="AB240" s="10">
        <f t="shared" si="54"/>
        <v>0</v>
      </c>
    </row>
    <row r="241" spans="1:28" x14ac:dyDescent="0.2">
      <c r="A241" s="8">
        <v>12350</v>
      </c>
      <c r="B241" s="77" t="str">
        <f t="shared" si="55"/>
        <v>Cowra</v>
      </c>
      <c r="C241" s="9" t="str">
        <f t="shared" si="56"/>
        <v>NetWaste</v>
      </c>
      <c r="D241" s="45" t="str">
        <f t="shared" si="57"/>
        <v>N</v>
      </c>
      <c r="E241" s="10" t="str">
        <f t="shared" si="58"/>
        <v>CNJO</v>
      </c>
      <c r="F241" s="10">
        <f t="shared" si="49"/>
        <v>0</v>
      </c>
      <c r="G241" s="10">
        <f t="shared" si="49"/>
        <v>0</v>
      </c>
      <c r="H241" s="10">
        <f t="shared" si="49"/>
        <v>0</v>
      </c>
      <c r="I241" s="660"/>
      <c r="J241" s="10">
        <f t="shared" si="50"/>
        <v>0</v>
      </c>
      <c r="K241" s="10">
        <f t="shared" si="50"/>
        <v>0</v>
      </c>
      <c r="L241" s="10">
        <f t="shared" si="50"/>
        <v>0</v>
      </c>
      <c r="M241" s="660"/>
      <c r="N241" s="10">
        <f t="shared" si="51"/>
        <v>0</v>
      </c>
      <c r="O241" s="10">
        <f t="shared" si="51"/>
        <v>0</v>
      </c>
      <c r="P241" s="10">
        <f t="shared" si="51"/>
        <v>0</v>
      </c>
      <c r="Q241" s="660"/>
      <c r="R241" s="10">
        <f t="shared" si="52"/>
        <v>0</v>
      </c>
      <c r="S241" s="10">
        <f t="shared" si="52"/>
        <v>0</v>
      </c>
      <c r="T241" s="10">
        <f t="shared" si="52"/>
        <v>0</v>
      </c>
      <c r="U241" s="660"/>
      <c r="V241" s="10">
        <f t="shared" si="53"/>
        <v>0</v>
      </c>
      <c r="W241" s="10">
        <f t="shared" si="53"/>
        <v>0</v>
      </c>
      <c r="X241" s="10">
        <f t="shared" si="53"/>
        <v>0</v>
      </c>
      <c r="Y241" s="660"/>
      <c r="Z241" s="10">
        <f t="shared" si="54"/>
        <v>0</v>
      </c>
      <c r="AA241" s="10">
        <f t="shared" si="54"/>
        <v>0</v>
      </c>
      <c r="AB241" s="10">
        <f t="shared" si="54"/>
        <v>0</v>
      </c>
    </row>
    <row r="242" spans="1:28" x14ac:dyDescent="0.2">
      <c r="A242" s="649">
        <v>12390</v>
      </c>
      <c r="B242" s="77" t="str">
        <f t="shared" si="55"/>
        <v>Dubbo Regional</v>
      </c>
      <c r="C242" s="9" t="str">
        <f t="shared" si="56"/>
        <v>NetWaste</v>
      </c>
      <c r="D242" s="45" t="str">
        <f t="shared" si="57"/>
        <v>N</v>
      </c>
      <c r="E242" s="10">
        <f t="shared" si="58"/>
        <v>0</v>
      </c>
      <c r="F242" s="10">
        <f t="shared" ref="F242:H261" si="59">VLOOKUP($A242,$A$3:$AX$130,F$221,FALSE)</f>
        <v>828.76</v>
      </c>
      <c r="G242" s="10">
        <f t="shared" si="59"/>
        <v>0</v>
      </c>
      <c r="H242" s="10">
        <f t="shared" si="59"/>
        <v>828.76</v>
      </c>
      <c r="I242" s="660"/>
      <c r="J242" s="10">
        <f t="shared" ref="J242:L261" si="60">VLOOKUP($A242,$A$3:$AX$130,J$221,FALSE)</f>
        <v>0</v>
      </c>
      <c r="K242" s="10">
        <f t="shared" si="60"/>
        <v>0</v>
      </c>
      <c r="L242" s="10">
        <f t="shared" si="60"/>
        <v>0</v>
      </c>
      <c r="M242" s="660"/>
      <c r="N242" s="10">
        <f t="shared" ref="N242:P261" si="61">VLOOKUP($A242,$A$3:$AX$130,N$221,FALSE)</f>
        <v>99.24</v>
      </c>
      <c r="O242" s="10">
        <f t="shared" si="61"/>
        <v>99.24</v>
      </c>
      <c r="P242" s="10">
        <f t="shared" si="61"/>
        <v>0</v>
      </c>
      <c r="Q242" s="660"/>
      <c r="R242" s="10">
        <f t="shared" ref="R242:T261" si="62">VLOOKUP($A242,$A$3:$AX$130,R$221,FALSE)</f>
        <v>45.18</v>
      </c>
      <c r="S242" s="10">
        <f t="shared" si="62"/>
        <v>45.18</v>
      </c>
      <c r="T242" s="10">
        <f t="shared" si="62"/>
        <v>0</v>
      </c>
      <c r="U242" s="660"/>
      <c r="V242" s="10">
        <f t="shared" ref="V242:X261" si="63">VLOOKUP($A242,$A$3:$AX$130,V$221,FALSE)</f>
        <v>0</v>
      </c>
      <c r="W242" s="10">
        <f t="shared" si="63"/>
        <v>0</v>
      </c>
      <c r="X242" s="10">
        <f t="shared" si="63"/>
        <v>0</v>
      </c>
      <c r="Y242" s="660"/>
      <c r="Z242" s="10">
        <f t="shared" ref="Z242:AB261" si="64">VLOOKUP($A242,$A$3:$AX$130,Z$221,FALSE)</f>
        <v>0</v>
      </c>
      <c r="AA242" s="10">
        <f t="shared" si="64"/>
        <v>0</v>
      </c>
      <c r="AB242" s="10">
        <f t="shared" si="64"/>
        <v>0</v>
      </c>
    </row>
    <row r="243" spans="1:28" x14ac:dyDescent="0.2">
      <c r="A243" s="8">
        <v>12730</v>
      </c>
      <c r="B243" s="77" t="str">
        <f t="shared" si="55"/>
        <v>Edward River</v>
      </c>
      <c r="C243" s="9" t="str">
        <f t="shared" si="56"/>
        <v>RAMJO Murray</v>
      </c>
      <c r="D243" s="45" t="str">
        <f t="shared" si="57"/>
        <v>N</v>
      </c>
      <c r="E243" s="10" t="str">
        <f t="shared" si="58"/>
        <v>RMJO</v>
      </c>
      <c r="F243" s="10">
        <f t="shared" si="59"/>
        <v>0</v>
      </c>
      <c r="G243" s="10">
        <f t="shared" si="59"/>
        <v>0</v>
      </c>
      <c r="H243" s="10">
        <f t="shared" si="59"/>
        <v>0</v>
      </c>
      <c r="I243" s="660"/>
      <c r="J243" s="10">
        <f t="shared" si="60"/>
        <v>0</v>
      </c>
      <c r="K243" s="10">
        <f t="shared" si="60"/>
        <v>0</v>
      </c>
      <c r="L243" s="10">
        <f t="shared" si="60"/>
        <v>0</v>
      </c>
      <c r="M243" s="660"/>
      <c r="N243" s="10">
        <f t="shared" si="61"/>
        <v>0</v>
      </c>
      <c r="O243" s="10">
        <f t="shared" si="61"/>
        <v>0</v>
      </c>
      <c r="P243" s="10">
        <f t="shared" si="61"/>
        <v>0</v>
      </c>
      <c r="Q243" s="660"/>
      <c r="R243" s="10">
        <f t="shared" si="62"/>
        <v>0</v>
      </c>
      <c r="S243" s="10">
        <f t="shared" si="62"/>
        <v>0</v>
      </c>
      <c r="T243" s="10">
        <f t="shared" si="62"/>
        <v>0</v>
      </c>
      <c r="U243" s="660"/>
      <c r="V243" s="10">
        <f t="shared" si="63"/>
        <v>0</v>
      </c>
      <c r="W243" s="10">
        <f t="shared" si="63"/>
        <v>0</v>
      </c>
      <c r="X243" s="10">
        <f t="shared" si="63"/>
        <v>0</v>
      </c>
      <c r="Y243" s="660"/>
      <c r="Z243" s="10">
        <f t="shared" si="64"/>
        <v>0</v>
      </c>
      <c r="AA243" s="10">
        <f t="shared" si="64"/>
        <v>0</v>
      </c>
      <c r="AB243" s="10">
        <f t="shared" si="64"/>
        <v>0</v>
      </c>
    </row>
    <row r="244" spans="1:28" x14ac:dyDescent="0.2">
      <c r="A244" s="8">
        <v>12750</v>
      </c>
      <c r="B244" s="77" t="str">
        <f t="shared" si="55"/>
        <v>Eurobodalla</v>
      </c>
      <c r="C244" s="9" t="str">
        <f t="shared" si="56"/>
        <v>CRJO</v>
      </c>
      <c r="D244" s="45" t="str">
        <f t="shared" si="57"/>
        <v>N</v>
      </c>
      <c r="E244" s="10" t="str">
        <f t="shared" si="58"/>
        <v>CRJO</v>
      </c>
      <c r="F244" s="10">
        <f t="shared" si="59"/>
        <v>758.3</v>
      </c>
      <c r="G244" s="10">
        <f t="shared" si="59"/>
        <v>51.17999999999995</v>
      </c>
      <c r="H244" s="10">
        <f t="shared" si="59"/>
        <v>707.12</v>
      </c>
      <c r="I244" s="660"/>
      <c r="J244" s="10">
        <f t="shared" si="60"/>
        <v>0</v>
      </c>
      <c r="K244" s="10">
        <f t="shared" si="60"/>
        <v>0</v>
      </c>
      <c r="L244" s="10">
        <f t="shared" si="60"/>
        <v>0</v>
      </c>
      <c r="M244" s="660"/>
      <c r="N244" s="10">
        <f t="shared" si="61"/>
        <v>387.94</v>
      </c>
      <c r="O244" s="10">
        <f t="shared" si="61"/>
        <v>387.94</v>
      </c>
      <c r="P244" s="10">
        <f t="shared" si="61"/>
        <v>0</v>
      </c>
      <c r="Q244" s="660"/>
      <c r="R244" s="10">
        <f t="shared" si="62"/>
        <v>0</v>
      </c>
      <c r="S244" s="10">
        <f t="shared" si="62"/>
        <v>0</v>
      </c>
      <c r="T244" s="10">
        <f t="shared" si="62"/>
        <v>0</v>
      </c>
      <c r="U244" s="660"/>
      <c r="V244" s="10">
        <f t="shared" si="63"/>
        <v>0</v>
      </c>
      <c r="W244" s="10">
        <f t="shared" si="63"/>
        <v>0</v>
      </c>
      <c r="X244" s="10">
        <f t="shared" si="63"/>
        <v>0</v>
      </c>
      <c r="Y244" s="660"/>
      <c r="Z244" s="10">
        <f t="shared" si="64"/>
        <v>0</v>
      </c>
      <c r="AA244" s="10">
        <f t="shared" si="64"/>
        <v>0</v>
      </c>
      <c r="AB244" s="10">
        <f t="shared" si="64"/>
        <v>0</v>
      </c>
    </row>
    <row r="245" spans="1:28" x14ac:dyDescent="0.2">
      <c r="A245" s="8">
        <v>12870</v>
      </c>
      <c r="B245" s="77" t="str">
        <f t="shared" si="55"/>
        <v>Federation</v>
      </c>
      <c r="C245" s="9" t="str">
        <f t="shared" si="56"/>
        <v>RAMJO Murray</v>
      </c>
      <c r="D245" s="45" t="str">
        <f t="shared" si="57"/>
        <v>N</v>
      </c>
      <c r="E245" s="10" t="str">
        <f t="shared" si="58"/>
        <v>RMJO</v>
      </c>
      <c r="F245" s="10">
        <f t="shared" si="59"/>
        <v>0</v>
      </c>
      <c r="G245" s="10">
        <f t="shared" si="59"/>
        <v>0</v>
      </c>
      <c r="H245" s="10">
        <f t="shared" si="59"/>
        <v>0</v>
      </c>
      <c r="I245" s="660"/>
      <c r="J245" s="10">
        <f t="shared" si="60"/>
        <v>0</v>
      </c>
      <c r="K245" s="10">
        <f t="shared" si="60"/>
        <v>0</v>
      </c>
      <c r="L245" s="10">
        <f t="shared" si="60"/>
        <v>0</v>
      </c>
      <c r="M245" s="660"/>
      <c r="N245" s="10">
        <f t="shared" si="61"/>
        <v>0</v>
      </c>
      <c r="O245" s="10">
        <f t="shared" si="61"/>
        <v>0</v>
      </c>
      <c r="P245" s="10">
        <f t="shared" si="61"/>
        <v>0</v>
      </c>
      <c r="Q245" s="660"/>
      <c r="R245" s="10">
        <f t="shared" si="62"/>
        <v>0</v>
      </c>
      <c r="S245" s="10">
        <f t="shared" si="62"/>
        <v>0</v>
      </c>
      <c r="T245" s="10">
        <f t="shared" si="62"/>
        <v>0</v>
      </c>
      <c r="U245" s="660"/>
      <c r="V245" s="10">
        <f t="shared" si="63"/>
        <v>0</v>
      </c>
      <c r="W245" s="10">
        <f t="shared" si="63"/>
        <v>0</v>
      </c>
      <c r="X245" s="10">
        <f t="shared" si="63"/>
        <v>0</v>
      </c>
      <c r="Y245" s="660"/>
      <c r="Z245" s="10">
        <f t="shared" si="64"/>
        <v>0</v>
      </c>
      <c r="AA245" s="10">
        <f t="shared" si="64"/>
        <v>0</v>
      </c>
      <c r="AB245" s="10">
        <f t="shared" si="64"/>
        <v>0</v>
      </c>
    </row>
    <row r="246" spans="1:28" x14ac:dyDescent="0.2">
      <c r="A246" s="8">
        <v>12900</v>
      </c>
      <c r="B246" s="77" t="str">
        <f t="shared" si="55"/>
        <v>Forbes</v>
      </c>
      <c r="C246" s="9" t="str">
        <f t="shared" si="56"/>
        <v>NetWaste</v>
      </c>
      <c r="D246" s="45" t="str">
        <f t="shared" si="57"/>
        <v>N</v>
      </c>
      <c r="E246" s="10" t="str">
        <f t="shared" si="58"/>
        <v>CNJO</v>
      </c>
      <c r="F246" s="10">
        <f t="shared" si="59"/>
        <v>22</v>
      </c>
      <c r="G246" s="10">
        <f t="shared" si="59"/>
        <v>0</v>
      </c>
      <c r="H246" s="10">
        <f t="shared" si="59"/>
        <v>22</v>
      </c>
      <c r="I246" s="660"/>
      <c r="J246" s="10">
        <f t="shared" si="60"/>
        <v>5</v>
      </c>
      <c r="K246" s="10">
        <f t="shared" si="60"/>
        <v>5</v>
      </c>
      <c r="L246" s="10">
        <f t="shared" si="60"/>
        <v>0</v>
      </c>
      <c r="M246" s="660"/>
      <c r="N246" s="10">
        <f t="shared" si="61"/>
        <v>5</v>
      </c>
      <c r="O246" s="10">
        <f t="shared" si="61"/>
        <v>5</v>
      </c>
      <c r="P246" s="10">
        <f t="shared" si="61"/>
        <v>0</v>
      </c>
      <c r="Q246" s="660"/>
      <c r="R246" s="10">
        <f t="shared" si="62"/>
        <v>0</v>
      </c>
      <c r="S246" s="10">
        <f t="shared" si="62"/>
        <v>0</v>
      </c>
      <c r="T246" s="10">
        <f t="shared" si="62"/>
        <v>0</v>
      </c>
      <c r="U246" s="660"/>
      <c r="V246" s="10">
        <f t="shared" si="63"/>
        <v>0</v>
      </c>
      <c r="W246" s="10">
        <f t="shared" si="63"/>
        <v>0</v>
      </c>
      <c r="X246" s="10">
        <f t="shared" si="63"/>
        <v>0</v>
      </c>
      <c r="Y246" s="660"/>
      <c r="Z246" s="10">
        <f t="shared" si="64"/>
        <v>2</v>
      </c>
      <c r="AA246" s="10">
        <f t="shared" si="64"/>
        <v>2</v>
      </c>
      <c r="AB246" s="10">
        <f t="shared" si="64"/>
        <v>0</v>
      </c>
    </row>
    <row r="247" spans="1:28" x14ac:dyDescent="0.2">
      <c r="A247" s="8">
        <v>12950</v>
      </c>
      <c r="B247" s="77" t="str">
        <f t="shared" si="55"/>
        <v>Gilgandra</v>
      </c>
      <c r="C247" s="9" t="str">
        <f t="shared" si="56"/>
        <v>NetWaste</v>
      </c>
      <c r="D247" s="45" t="str">
        <f t="shared" si="57"/>
        <v>N</v>
      </c>
      <c r="E247" s="10" t="str">
        <f t="shared" si="58"/>
        <v>OJO</v>
      </c>
      <c r="F247" s="10">
        <f t="shared" si="59"/>
        <v>0</v>
      </c>
      <c r="G247" s="10">
        <f t="shared" si="59"/>
        <v>0</v>
      </c>
      <c r="H247" s="10">
        <f t="shared" si="59"/>
        <v>0</v>
      </c>
      <c r="I247" s="660"/>
      <c r="J247" s="10">
        <f t="shared" si="60"/>
        <v>0</v>
      </c>
      <c r="K247" s="10">
        <f t="shared" si="60"/>
        <v>0</v>
      </c>
      <c r="L247" s="10">
        <f t="shared" si="60"/>
        <v>0</v>
      </c>
      <c r="M247" s="660"/>
      <c r="N247" s="10">
        <f t="shared" si="61"/>
        <v>0</v>
      </c>
      <c r="O247" s="10">
        <f t="shared" si="61"/>
        <v>0</v>
      </c>
      <c r="P247" s="10">
        <f t="shared" si="61"/>
        <v>0</v>
      </c>
      <c r="Q247" s="660"/>
      <c r="R247" s="10">
        <f t="shared" si="62"/>
        <v>0</v>
      </c>
      <c r="S247" s="10">
        <f t="shared" si="62"/>
        <v>0</v>
      </c>
      <c r="T247" s="10">
        <f t="shared" si="62"/>
        <v>0</v>
      </c>
      <c r="U247" s="660"/>
      <c r="V247" s="10">
        <f t="shared" si="63"/>
        <v>0</v>
      </c>
      <c r="W247" s="10">
        <f t="shared" si="63"/>
        <v>0</v>
      </c>
      <c r="X247" s="10">
        <f t="shared" si="63"/>
        <v>0</v>
      </c>
      <c r="Y247" s="660"/>
      <c r="Z247" s="10">
        <f t="shared" si="64"/>
        <v>0</v>
      </c>
      <c r="AA247" s="10">
        <f t="shared" si="64"/>
        <v>0</v>
      </c>
      <c r="AB247" s="10">
        <f t="shared" si="64"/>
        <v>0</v>
      </c>
    </row>
    <row r="248" spans="1:28" x14ac:dyDescent="0.2">
      <c r="A248" s="8">
        <v>13010</v>
      </c>
      <c r="B248" s="77" t="str">
        <f t="shared" si="55"/>
        <v>Glen Innes Severn</v>
      </c>
      <c r="C248" s="9" t="str">
        <f t="shared" si="56"/>
        <v>NIRW</v>
      </c>
      <c r="D248" s="45" t="str">
        <f t="shared" si="57"/>
        <v>N</v>
      </c>
      <c r="E248" s="10" t="str">
        <f t="shared" si="58"/>
        <v>NEJO</v>
      </c>
      <c r="F248" s="10">
        <f t="shared" si="59"/>
        <v>0</v>
      </c>
      <c r="G248" s="10">
        <f t="shared" si="59"/>
        <v>0</v>
      </c>
      <c r="H248" s="10">
        <f t="shared" si="59"/>
        <v>0</v>
      </c>
      <c r="I248" s="660"/>
      <c r="J248" s="10">
        <f t="shared" si="60"/>
        <v>0</v>
      </c>
      <c r="K248" s="10">
        <f t="shared" si="60"/>
        <v>0</v>
      </c>
      <c r="L248" s="10">
        <f t="shared" si="60"/>
        <v>0</v>
      </c>
      <c r="M248" s="660"/>
      <c r="N248" s="10">
        <f t="shared" si="61"/>
        <v>0</v>
      </c>
      <c r="O248" s="10">
        <f t="shared" si="61"/>
        <v>0</v>
      </c>
      <c r="P248" s="10">
        <f t="shared" si="61"/>
        <v>0</v>
      </c>
      <c r="Q248" s="660"/>
      <c r="R248" s="10">
        <f t="shared" si="62"/>
        <v>0</v>
      </c>
      <c r="S248" s="10">
        <f t="shared" si="62"/>
        <v>0</v>
      </c>
      <c r="T248" s="10">
        <f t="shared" si="62"/>
        <v>0</v>
      </c>
      <c r="U248" s="660"/>
      <c r="V248" s="10">
        <f t="shared" si="63"/>
        <v>0</v>
      </c>
      <c r="W248" s="10">
        <f t="shared" si="63"/>
        <v>0</v>
      </c>
      <c r="X248" s="10">
        <f t="shared" si="63"/>
        <v>0</v>
      </c>
      <c r="Y248" s="660"/>
      <c r="Z248" s="10">
        <f t="shared" si="64"/>
        <v>0</v>
      </c>
      <c r="AA248" s="10">
        <f t="shared" si="64"/>
        <v>0</v>
      </c>
      <c r="AB248" s="10">
        <f t="shared" si="64"/>
        <v>0</v>
      </c>
    </row>
    <row r="249" spans="1:28" x14ac:dyDescent="0.2">
      <c r="A249" s="8">
        <v>13310</v>
      </c>
      <c r="B249" s="77" t="str">
        <f t="shared" si="55"/>
        <v>Goulburn Mulwaree</v>
      </c>
      <c r="C249" s="9" t="str">
        <f t="shared" si="56"/>
        <v>CRJO</v>
      </c>
      <c r="D249" s="45" t="str">
        <f t="shared" si="57"/>
        <v>N</v>
      </c>
      <c r="E249" s="10" t="str">
        <f t="shared" si="58"/>
        <v>CRJO</v>
      </c>
      <c r="F249" s="10">
        <f t="shared" si="59"/>
        <v>201.15</v>
      </c>
      <c r="G249" s="10">
        <f t="shared" si="59"/>
        <v>0</v>
      </c>
      <c r="H249" s="10">
        <f t="shared" si="59"/>
        <v>201.15</v>
      </c>
      <c r="I249" s="660"/>
      <c r="J249" s="10">
        <f t="shared" si="60"/>
        <v>14.1</v>
      </c>
      <c r="K249" s="10">
        <f t="shared" si="60"/>
        <v>14.1</v>
      </c>
      <c r="L249" s="10">
        <f t="shared" si="60"/>
        <v>0</v>
      </c>
      <c r="M249" s="660"/>
      <c r="N249" s="10">
        <f t="shared" si="61"/>
        <v>90.45</v>
      </c>
      <c r="O249" s="10">
        <f t="shared" si="61"/>
        <v>90.45</v>
      </c>
      <c r="P249" s="10">
        <f t="shared" si="61"/>
        <v>0</v>
      </c>
      <c r="Q249" s="660"/>
      <c r="R249" s="10">
        <f t="shared" si="62"/>
        <v>17.850000000000001</v>
      </c>
      <c r="S249" s="10">
        <f t="shared" si="62"/>
        <v>17.850000000000001</v>
      </c>
      <c r="T249" s="10">
        <f t="shared" si="62"/>
        <v>0</v>
      </c>
      <c r="U249" s="660"/>
      <c r="V249" s="10">
        <f t="shared" si="63"/>
        <v>0</v>
      </c>
      <c r="W249" s="10">
        <f t="shared" si="63"/>
        <v>0</v>
      </c>
      <c r="X249" s="10">
        <f t="shared" si="63"/>
        <v>0</v>
      </c>
      <c r="Y249" s="660"/>
      <c r="Z249" s="10">
        <f t="shared" si="64"/>
        <v>7.5</v>
      </c>
      <c r="AA249" s="10">
        <f t="shared" si="64"/>
        <v>7.5</v>
      </c>
      <c r="AB249" s="10">
        <f t="shared" si="64"/>
        <v>0</v>
      </c>
    </row>
    <row r="250" spans="1:28" x14ac:dyDescent="0.2">
      <c r="A250" s="8">
        <v>13340</v>
      </c>
      <c r="B250" s="77" t="str">
        <f t="shared" si="55"/>
        <v>Greater Hume Shire</v>
      </c>
      <c r="C250" s="9" t="str">
        <f t="shared" si="56"/>
        <v>REROC</v>
      </c>
      <c r="D250" s="45" t="str">
        <f t="shared" si="57"/>
        <v>N</v>
      </c>
      <c r="E250" s="10" t="str">
        <f t="shared" si="58"/>
        <v>RJO</v>
      </c>
      <c r="F250" s="10">
        <f t="shared" si="59"/>
        <v>0</v>
      </c>
      <c r="G250" s="10">
        <f t="shared" si="59"/>
        <v>0</v>
      </c>
      <c r="H250" s="10">
        <f t="shared" si="59"/>
        <v>0</v>
      </c>
      <c r="I250" s="660"/>
      <c r="J250" s="10">
        <f t="shared" si="60"/>
        <v>0</v>
      </c>
      <c r="K250" s="10">
        <f t="shared" si="60"/>
        <v>0</v>
      </c>
      <c r="L250" s="10">
        <f t="shared" si="60"/>
        <v>0</v>
      </c>
      <c r="M250" s="660"/>
      <c r="N250" s="10">
        <f t="shared" si="61"/>
        <v>0</v>
      </c>
      <c r="O250" s="10">
        <f t="shared" si="61"/>
        <v>0</v>
      </c>
      <c r="P250" s="10">
        <f t="shared" si="61"/>
        <v>0</v>
      </c>
      <c r="Q250" s="660"/>
      <c r="R250" s="10">
        <f t="shared" si="62"/>
        <v>0</v>
      </c>
      <c r="S250" s="10">
        <f t="shared" si="62"/>
        <v>0</v>
      </c>
      <c r="T250" s="10">
        <f t="shared" si="62"/>
        <v>0</v>
      </c>
      <c r="U250" s="660"/>
      <c r="V250" s="10">
        <f t="shared" si="63"/>
        <v>0</v>
      </c>
      <c r="W250" s="10">
        <f t="shared" si="63"/>
        <v>0</v>
      </c>
      <c r="X250" s="10">
        <f t="shared" si="63"/>
        <v>0</v>
      </c>
      <c r="Y250" s="660"/>
      <c r="Z250" s="10">
        <f t="shared" si="64"/>
        <v>0</v>
      </c>
      <c r="AA250" s="10">
        <f t="shared" si="64"/>
        <v>0</v>
      </c>
      <c r="AB250" s="10">
        <f t="shared" si="64"/>
        <v>0</v>
      </c>
    </row>
    <row r="251" spans="1:28" x14ac:dyDescent="0.2">
      <c r="A251" s="8">
        <v>13450</v>
      </c>
      <c r="B251" s="77" t="str">
        <f t="shared" si="55"/>
        <v>Griffith</v>
      </c>
      <c r="C251" s="9" t="str">
        <f t="shared" si="56"/>
        <v>RAMJO Riverina</v>
      </c>
      <c r="D251" s="45" t="str">
        <f t="shared" si="57"/>
        <v>N</v>
      </c>
      <c r="E251" s="10" t="str">
        <f t="shared" si="58"/>
        <v>RMJO</v>
      </c>
      <c r="F251" s="10">
        <f t="shared" si="59"/>
        <v>0</v>
      </c>
      <c r="G251" s="10">
        <f t="shared" si="59"/>
        <v>0</v>
      </c>
      <c r="H251" s="10">
        <f t="shared" si="59"/>
        <v>0</v>
      </c>
      <c r="I251" s="660"/>
      <c r="J251" s="10">
        <f t="shared" si="60"/>
        <v>0</v>
      </c>
      <c r="K251" s="10">
        <f t="shared" si="60"/>
        <v>0</v>
      </c>
      <c r="L251" s="10">
        <f t="shared" si="60"/>
        <v>0</v>
      </c>
      <c r="M251" s="660"/>
      <c r="N251" s="10">
        <f t="shared" si="61"/>
        <v>0</v>
      </c>
      <c r="O251" s="10">
        <f t="shared" si="61"/>
        <v>0</v>
      </c>
      <c r="P251" s="10">
        <f t="shared" si="61"/>
        <v>0</v>
      </c>
      <c r="Q251" s="660"/>
      <c r="R251" s="10">
        <f t="shared" si="62"/>
        <v>0</v>
      </c>
      <c r="S251" s="10">
        <f t="shared" si="62"/>
        <v>0</v>
      </c>
      <c r="T251" s="10">
        <f t="shared" si="62"/>
        <v>0</v>
      </c>
      <c r="U251" s="660"/>
      <c r="V251" s="10">
        <f t="shared" si="63"/>
        <v>0</v>
      </c>
      <c r="W251" s="10">
        <f t="shared" si="63"/>
        <v>0</v>
      </c>
      <c r="X251" s="10">
        <f t="shared" si="63"/>
        <v>0</v>
      </c>
      <c r="Y251" s="660"/>
      <c r="Z251" s="10">
        <f t="shared" si="64"/>
        <v>0</v>
      </c>
      <c r="AA251" s="10">
        <f t="shared" si="64"/>
        <v>0</v>
      </c>
      <c r="AB251" s="10">
        <f t="shared" si="64"/>
        <v>0</v>
      </c>
    </row>
    <row r="252" spans="1:28" x14ac:dyDescent="0.2">
      <c r="A252" s="8">
        <v>13550</v>
      </c>
      <c r="B252" s="77" t="str">
        <f t="shared" si="55"/>
        <v>Gunnedah</v>
      </c>
      <c r="C252" s="9" t="str">
        <f t="shared" si="56"/>
        <v>NIRW</v>
      </c>
      <c r="D252" s="45" t="str">
        <f t="shared" si="57"/>
        <v>N</v>
      </c>
      <c r="E252" s="10" t="str">
        <f t="shared" si="58"/>
        <v>NJO</v>
      </c>
      <c r="F252" s="10">
        <f t="shared" si="59"/>
        <v>0</v>
      </c>
      <c r="G252" s="10">
        <f t="shared" si="59"/>
        <v>0</v>
      </c>
      <c r="H252" s="10">
        <f t="shared" si="59"/>
        <v>0</v>
      </c>
      <c r="I252" s="660"/>
      <c r="J252" s="10">
        <f t="shared" si="60"/>
        <v>0</v>
      </c>
      <c r="K252" s="10">
        <f t="shared" si="60"/>
        <v>0</v>
      </c>
      <c r="L252" s="10">
        <f t="shared" si="60"/>
        <v>0</v>
      </c>
      <c r="M252" s="660"/>
      <c r="N252" s="10">
        <f t="shared" si="61"/>
        <v>0</v>
      </c>
      <c r="O252" s="10">
        <f t="shared" si="61"/>
        <v>0</v>
      </c>
      <c r="P252" s="10">
        <f t="shared" si="61"/>
        <v>0</v>
      </c>
      <c r="Q252" s="660"/>
      <c r="R252" s="10">
        <f t="shared" si="62"/>
        <v>0</v>
      </c>
      <c r="S252" s="10">
        <f t="shared" si="62"/>
        <v>0</v>
      </c>
      <c r="T252" s="10">
        <f t="shared" si="62"/>
        <v>0</v>
      </c>
      <c r="U252" s="660"/>
      <c r="V252" s="10">
        <f t="shared" si="63"/>
        <v>0</v>
      </c>
      <c r="W252" s="10">
        <f t="shared" si="63"/>
        <v>0</v>
      </c>
      <c r="X252" s="10">
        <f t="shared" si="63"/>
        <v>0</v>
      </c>
      <c r="Y252" s="660"/>
      <c r="Z252" s="10">
        <f t="shared" si="64"/>
        <v>0</v>
      </c>
      <c r="AA252" s="10">
        <f t="shared" si="64"/>
        <v>0</v>
      </c>
      <c r="AB252" s="10">
        <f t="shared" si="64"/>
        <v>0</v>
      </c>
    </row>
    <row r="253" spans="1:28" x14ac:dyDescent="0.2">
      <c r="A253" s="8">
        <v>13660</v>
      </c>
      <c r="B253" s="77" t="str">
        <f t="shared" si="55"/>
        <v>Gwydir</v>
      </c>
      <c r="C253" s="9" t="str">
        <f t="shared" si="56"/>
        <v>NIRW</v>
      </c>
      <c r="D253" s="45" t="str">
        <f t="shared" si="57"/>
        <v>N</v>
      </c>
      <c r="E253" s="10" t="str">
        <f t="shared" si="58"/>
        <v>NJO</v>
      </c>
      <c r="F253" s="10">
        <f t="shared" si="59"/>
        <v>0</v>
      </c>
      <c r="G253" s="10">
        <f t="shared" si="59"/>
        <v>0</v>
      </c>
      <c r="H253" s="10">
        <f t="shared" si="59"/>
        <v>0</v>
      </c>
      <c r="I253" s="660"/>
      <c r="J253" s="10">
        <f t="shared" si="60"/>
        <v>0</v>
      </c>
      <c r="K253" s="10">
        <f t="shared" si="60"/>
        <v>0</v>
      </c>
      <c r="L253" s="10">
        <f t="shared" si="60"/>
        <v>0</v>
      </c>
      <c r="M253" s="660"/>
      <c r="N253" s="10">
        <f t="shared" si="61"/>
        <v>0</v>
      </c>
      <c r="O253" s="10">
        <f t="shared" si="61"/>
        <v>0</v>
      </c>
      <c r="P253" s="10">
        <f t="shared" si="61"/>
        <v>0</v>
      </c>
      <c r="Q253" s="660"/>
      <c r="R253" s="10">
        <f t="shared" si="62"/>
        <v>0</v>
      </c>
      <c r="S253" s="10">
        <f t="shared" si="62"/>
        <v>0</v>
      </c>
      <c r="T253" s="10">
        <f t="shared" si="62"/>
        <v>0</v>
      </c>
      <c r="U253" s="660"/>
      <c r="V253" s="10">
        <f t="shared" si="63"/>
        <v>0</v>
      </c>
      <c r="W253" s="10">
        <f t="shared" si="63"/>
        <v>0</v>
      </c>
      <c r="X253" s="10">
        <f t="shared" si="63"/>
        <v>0</v>
      </c>
      <c r="Y253" s="660"/>
      <c r="Z253" s="10">
        <f t="shared" si="64"/>
        <v>0</v>
      </c>
      <c r="AA253" s="10">
        <f t="shared" si="64"/>
        <v>0</v>
      </c>
      <c r="AB253" s="10">
        <f t="shared" si="64"/>
        <v>0</v>
      </c>
    </row>
    <row r="254" spans="1:28" x14ac:dyDescent="0.2">
      <c r="A254" s="8">
        <v>13850</v>
      </c>
      <c r="B254" s="77" t="str">
        <f t="shared" si="55"/>
        <v>Hay</v>
      </c>
      <c r="C254" s="9" t="str">
        <f t="shared" si="56"/>
        <v>RAMJO Riverina</v>
      </c>
      <c r="D254" s="45" t="str">
        <f t="shared" si="57"/>
        <v>N</v>
      </c>
      <c r="E254" s="10" t="str">
        <f t="shared" si="58"/>
        <v>RMJO</v>
      </c>
      <c r="F254" s="10">
        <f t="shared" si="59"/>
        <v>0</v>
      </c>
      <c r="G254" s="10">
        <f t="shared" si="59"/>
        <v>0</v>
      </c>
      <c r="H254" s="10">
        <f t="shared" si="59"/>
        <v>0</v>
      </c>
      <c r="I254" s="660"/>
      <c r="J254" s="10">
        <f t="shared" si="60"/>
        <v>0</v>
      </c>
      <c r="K254" s="10">
        <f t="shared" si="60"/>
        <v>0</v>
      </c>
      <c r="L254" s="10">
        <f t="shared" si="60"/>
        <v>0</v>
      </c>
      <c r="M254" s="660"/>
      <c r="N254" s="10">
        <f t="shared" si="61"/>
        <v>0</v>
      </c>
      <c r="O254" s="10">
        <f t="shared" si="61"/>
        <v>0</v>
      </c>
      <c r="P254" s="10">
        <f t="shared" si="61"/>
        <v>0</v>
      </c>
      <c r="Q254" s="660"/>
      <c r="R254" s="10">
        <f t="shared" si="62"/>
        <v>0</v>
      </c>
      <c r="S254" s="10">
        <f t="shared" si="62"/>
        <v>0</v>
      </c>
      <c r="T254" s="10">
        <f t="shared" si="62"/>
        <v>0</v>
      </c>
      <c r="U254" s="660"/>
      <c r="V254" s="10">
        <f t="shared" si="63"/>
        <v>0</v>
      </c>
      <c r="W254" s="10">
        <f t="shared" si="63"/>
        <v>0</v>
      </c>
      <c r="X254" s="10">
        <f t="shared" si="63"/>
        <v>0</v>
      </c>
      <c r="Y254" s="660"/>
      <c r="Z254" s="10">
        <f t="shared" si="64"/>
        <v>0</v>
      </c>
      <c r="AA254" s="10">
        <f t="shared" si="64"/>
        <v>0</v>
      </c>
      <c r="AB254" s="10">
        <f t="shared" si="64"/>
        <v>0</v>
      </c>
    </row>
    <row r="255" spans="1:28" x14ac:dyDescent="0.2">
      <c r="A255" s="8">
        <v>13910</v>
      </c>
      <c r="B255" s="77" t="str">
        <f t="shared" si="55"/>
        <v>Hilltops</v>
      </c>
      <c r="C255" s="9" t="str">
        <f t="shared" si="56"/>
        <v>CRJO</v>
      </c>
      <c r="D255" s="45" t="str">
        <f t="shared" si="57"/>
        <v>N</v>
      </c>
      <c r="E255" s="10" t="str">
        <f t="shared" si="58"/>
        <v>CRJO</v>
      </c>
      <c r="F255" s="10">
        <f t="shared" si="59"/>
        <v>0</v>
      </c>
      <c r="G255" s="10">
        <f t="shared" si="59"/>
        <v>0</v>
      </c>
      <c r="H255" s="10">
        <f t="shared" si="59"/>
        <v>0</v>
      </c>
      <c r="I255" s="660"/>
      <c r="J255" s="10">
        <f t="shared" si="60"/>
        <v>0</v>
      </c>
      <c r="K255" s="10">
        <f t="shared" si="60"/>
        <v>0</v>
      </c>
      <c r="L255" s="10">
        <f t="shared" si="60"/>
        <v>0</v>
      </c>
      <c r="M255" s="660"/>
      <c r="N255" s="10">
        <f t="shared" si="61"/>
        <v>0</v>
      </c>
      <c r="O255" s="10">
        <f t="shared" si="61"/>
        <v>0</v>
      </c>
      <c r="P255" s="10">
        <f t="shared" si="61"/>
        <v>0</v>
      </c>
      <c r="Q255" s="660"/>
      <c r="R255" s="10">
        <f t="shared" si="62"/>
        <v>0</v>
      </c>
      <c r="S255" s="10">
        <f t="shared" si="62"/>
        <v>0</v>
      </c>
      <c r="T255" s="10">
        <f t="shared" si="62"/>
        <v>0</v>
      </c>
      <c r="U255" s="660"/>
      <c r="V255" s="10">
        <f t="shared" si="63"/>
        <v>0</v>
      </c>
      <c r="W255" s="10">
        <f t="shared" si="63"/>
        <v>0</v>
      </c>
      <c r="X255" s="10">
        <f t="shared" si="63"/>
        <v>0</v>
      </c>
      <c r="Y255" s="660"/>
      <c r="Z255" s="10">
        <f t="shared" si="64"/>
        <v>0</v>
      </c>
      <c r="AA255" s="10">
        <f t="shared" si="64"/>
        <v>0</v>
      </c>
      <c r="AB255" s="10">
        <f t="shared" si="64"/>
        <v>0</v>
      </c>
    </row>
    <row r="256" spans="1:28" x14ac:dyDescent="0.2">
      <c r="A256" s="8">
        <v>14220</v>
      </c>
      <c r="B256" s="77" t="str">
        <f t="shared" ref="B256:B288" si="65">VLOOKUP($A256,$A$8:$I$135,2,FALSE)</f>
        <v>Inverell</v>
      </c>
      <c r="C256" s="9" t="str">
        <f t="shared" ref="C256:C288" si="66">VLOOKUP($A256,$A$8:$I$136,3,FALSE)</f>
        <v>NIRW</v>
      </c>
      <c r="D256" s="45" t="str">
        <f t="shared" ref="D256:D288" si="67">VLOOKUP($A256,$A$8:$I$136,4,FALSE)</f>
        <v>N</v>
      </c>
      <c r="E256" s="10" t="str">
        <f t="shared" ref="E256:E288" si="68">VLOOKUP($A256,$A$8:$AV$135,5,FALSE)</f>
        <v>NEJO</v>
      </c>
      <c r="F256" s="10">
        <f t="shared" si="59"/>
        <v>0</v>
      </c>
      <c r="G256" s="10">
        <f t="shared" si="59"/>
        <v>0</v>
      </c>
      <c r="H256" s="10">
        <f t="shared" si="59"/>
        <v>0</v>
      </c>
      <c r="I256" s="660"/>
      <c r="J256" s="10">
        <f t="shared" si="60"/>
        <v>0</v>
      </c>
      <c r="K256" s="10">
        <f t="shared" si="60"/>
        <v>0</v>
      </c>
      <c r="L256" s="10">
        <f t="shared" si="60"/>
        <v>0</v>
      </c>
      <c r="M256" s="660"/>
      <c r="N256" s="10">
        <f t="shared" si="61"/>
        <v>5.82</v>
      </c>
      <c r="O256" s="10">
        <f t="shared" si="61"/>
        <v>5.82</v>
      </c>
      <c r="P256" s="10">
        <f t="shared" si="61"/>
        <v>0</v>
      </c>
      <c r="Q256" s="660"/>
      <c r="R256" s="10">
        <f t="shared" si="62"/>
        <v>0</v>
      </c>
      <c r="S256" s="10">
        <f t="shared" si="62"/>
        <v>0</v>
      </c>
      <c r="T256" s="10">
        <f t="shared" si="62"/>
        <v>0</v>
      </c>
      <c r="U256" s="660"/>
      <c r="V256" s="10">
        <f t="shared" si="63"/>
        <v>0</v>
      </c>
      <c r="W256" s="10">
        <f t="shared" si="63"/>
        <v>0</v>
      </c>
      <c r="X256" s="10">
        <f t="shared" si="63"/>
        <v>0</v>
      </c>
      <c r="Y256" s="660"/>
      <c r="Z256" s="10">
        <f t="shared" si="64"/>
        <v>0</v>
      </c>
      <c r="AA256" s="10">
        <f t="shared" si="64"/>
        <v>0</v>
      </c>
      <c r="AB256" s="10">
        <f t="shared" si="64"/>
        <v>0</v>
      </c>
    </row>
    <row r="257" spans="1:28" x14ac:dyDescent="0.2">
      <c r="A257" s="8">
        <v>14300</v>
      </c>
      <c r="B257" s="77" t="str">
        <f t="shared" si="65"/>
        <v>Junee</v>
      </c>
      <c r="C257" s="9" t="str">
        <f t="shared" si="66"/>
        <v>REROC</v>
      </c>
      <c r="D257" s="45" t="str">
        <f t="shared" si="67"/>
        <v>N</v>
      </c>
      <c r="E257" s="10" t="str">
        <f t="shared" si="68"/>
        <v>RJO</v>
      </c>
      <c r="F257" s="10">
        <f t="shared" si="59"/>
        <v>0</v>
      </c>
      <c r="G257" s="10">
        <f t="shared" si="59"/>
        <v>0</v>
      </c>
      <c r="H257" s="10">
        <f t="shared" si="59"/>
        <v>0</v>
      </c>
      <c r="I257" s="660"/>
      <c r="J257" s="10">
        <f t="shared" si="60"/>
        <v>0</v>
      </c>
      <c r="K257" s="10">
        <f t="shared" si="60"/>
        <v>0</v>
      </c>
      <c r="L257" s="10">
        <f t="shared" si="60"/>
        <v>0</v>
      </c>
      <c r="M257" s="660"/>
      <c r="N257" s="10">
        <f t="shared" si="61"/>
        <v>0</v>
      </c>
      <c r="O257" s="10">
        <f t="shared" si="61"/>
        <v>0</v>
      </c>
      <c r="P257" s="10">
        <f t="shared" si="61"/>
        <v>0</v>
      </c>
      <c r="Q257" s="660"/>
      <c r="R257" s="10">
        <f t="shared" si="62"/>
        <v>0</v>
      </c>
      <c r="S257" s="10">
        <f t="shared" si="62"/>
        <v>0</v>
      </c>
      <c r="T257" s="10">
        <f t="shared" si="62"/>
        <v>0</v>
      </c>
      <c r="U257" s="660"/>
      <c r="V257" s="10">
        <f t="shared" si="63"/>
        <v>0</v>
      </c>
      <c r="W257" s="10">
        <f t="shared" si="63"/>
        <v>0</v>
      </c>
      <c r="X257" s="10">
        <f t="shared" si="63"/>
        <v>0</v>
      </c>
      <c r="Y257" s="660"/>
      <c r="Z257" s="10">
        <f t="shared" si="64"/>
        <v>0</v>
      </c>
      <c r="AA257" s="10">
        <f t="shared" si="64"/>
        <v>0</v>
      </c>
      <c r="AB257" s="10">
        <f t="shared" si="64"/>
        <v>0</v>
      </c>
    </row>
    <row r="258" spans="1:28" x14ac:dyDescent="0.2">
      <c r="A258" s="8">
        <v>14600</v>
      </c>
      <c r="B258" s="77" t="str">
        <f t="shared" si="65"/>
        <v>Lachlan</v>
      </c>
      <c r="C258" s="9" t="str">
        <f t="shared" si="66"/>
        <v>NetWaste</v>
      </c>
      <c r="D258" s="45" t="str">
        <f t="shared" si="67"/>
        <v>N</v>
      </c>
      <c r="E258" s="10" t="str">
        <f t="shared" si="68"/>
        <v>CNJO</v>
      </c>
      <c r="F258" s="10">
        <f t="shared" si="59"/>
        <v>0</v>
      </c>
      <c r="G258" s="10">
        <f t="shared" si="59"/>
        <v>0</v>
      </c>
      <c r="H258" s="10">
        <f t="shared" si="59"/>
        <v>0</v>
      </c>
      <c r="I258" s="660"/>
      <c r="J258" s="10">
        <f t="shared" si="60"/>
        <v>0</v>
      </c>
      <c r="K258" s="10">
        <f t="shared" si="60"/>
        <v>0</v>
      </c>
      <c r="L258" s="10">
        <f t="shared" si="60"/>
        <v>0</v>
      </c>
      <c r="M258" s="660"/>
      <c r="N258" s="10">
        <f t="shared" si="61"/>
        <v>0</v>
      </c>
      <c r="O258" s="10">
        <f t="shared" si="61"/>
        <v>0</v>
      </c>
      <c r="P258" s="10">
        <f t="shared" si="61"/>
        <v>0</v>
      </c>
      <c r="Q258" s="660"/>
      <c r="R258" s="10">
        <f t="shared" si="62"/>
        <v>0</v>
      </c>
      <c r="S258" s="10">
        <f t="shared" si="62"/>
        <v>0</v>
      </c>
      <c r="T258" s="10">
        <f t="shared" si="62"/>
        <v>0</v>
      </c>
      <c r="U258" s="660"/>
      <c r="V258" s="10">
        <f t="shared" si="63"/>
        <v>0</v>
      </c>
      <c r="W258" s="10">
        <f t="shared" si="63"/>
        <v>0</v>
      </c>
      <c r="X258" s="10">
        <f t="shared" si="63"/>
        <v>0</v>
      </c>
      <c r="Y258" s="660"/>
      <c r="Z258" s="10">
        <f t="shared" si="64"/>
        <v>0</v>
      </c>
      <c r="AA258" s="10">
        <f t="shared" si="64"/>
        <v>0</v>
      </c>
      <c r="AB258" s="10">
        <f t="shared" si="64"/>
        <v>0</v>
      </c>
    </row>
    <row r="259" spans="1:28" x14ac:dyDescent="0.2">
      <c r="A259" s="8">
        <v>14750</v>
      </c>
      <c r="B259" s="77" t="str">
        <f t="shared" si="65"/>
        <v>Leeton</v>
      </c>
      <c r="C259" s="9" t="str">
        <f t="shared" si="66"/>
        <v>RAMJO Riverina</v>
      </c>
      <c r="D259" s="45" t="str">
        <f t="shared" si="67"/>
        <v>N</v>
      </c>
      <c r="E259" s="10" t="str">
        <f t="shared" si="68"/>
        <v>RMJO</v>
      </c>
      <c r="F259" s="10">
        <f t="shared" si="59"/>
        <v>0</v>
      </c>
      <c r="G259" s="10">
        <f t="shared" si="59"/>
        <v>0</v>
      </c>
      <c r="H259" s="10">
        <f t="shared" si="59"/>
        <v>0</v>
      </c>
      <c r="I259" s="660"/>
      <c r="J259" s="10">
        <f t="shared" si="60"/>
        <v>0</v>
      </c>
      <c r="K259" s="10">
        <f t="shared" si="60"/>
        <v>0</v>
      </c>
      <c r="L259" s="10">
        <f t="shared" si="60"/>
        <v>0</v>
      </c>
      <c r="M259" s="660"/>
      <c r="N259" s="10">
        <f t="shared" si="61"/>
        <v>0</v>
      </c>
      <c r="O259" s="10">
        <f t="shared" si="61"/>
        <v>0</v>
      </c>
      <c r="P259" s="10">
        <f t="shared" si="61"/>
        <v>0</v>
      </c>
      <c r="Q259" s="660"/>
      <c r="R259" s="10">
        <f t="shared" si="62"/>
        <v>0</v>
      </c>
      <c r="S259" s="10">
        <f t="shared" si="62"/>
        <v>0</v>
      </c>
      <c r="T259" s="10">
        <f t="shared" si="62"/>
        <v>0</v>
      </c>
      <c r="U259" s="660"/>
      <c r="V259" s="10">
        <f t="shared" si="63"/>
        <v>0</v>
      </c>
      <c r="W259" s="10">
        <f t="shared" si="63"/>
        <v>0</v>
      </c>
      <c r="X259" s="10">
        <f t="shared" si="63"/>
        <v>0</v>
      </c>
      <c r="Y259" s="660"/>
      <c r="Z259" s="10">
        <f t="shared" si="64"/>
        <v>0</v>
      </c>
      <c r="AA259" s="10">
        <f t="shared" si="64"/>
        <v>0</v>
      </c>
      <c r="AB259" s="10">
        <f t="shared" si="64"/>
        <v>0</v>
      </c>
    </row>
    <row r="260" spans="1:28" x14ac:dyDescent="0.2">
      <c r="A260" s="8">
        <v>14870</v>
      </c>
      <c r="B260" s="77" t="str">
        <f t="shared" si="65"/>
        <v>Lithgow</v>
      </c>
      <c r="C260" s="9" t="str">
        <f t="shared" si="66"/>
        <v>NetWaste</v>
      </c>
      <c r="D260" s="45" t="str">
        <f t="shared" si="67"/>
        <v>N</v>
      </c>
      <c r="E260" s="10">
        <f t="shared" si="68"/>
        <v>0</v>
      </c>
      <c r="F260" s="10">
        <f t="shared" si="59"/>
        <v>77.959999999999994</v>
      </c>
      <c r="G260" s="10">
        <f t="shared" si="59"/>
        <v>49.999999999999993</v>
      </c>
      <c r="H260" s="10">
        <f t="shared" si="59"/>
        <v>27.96</v>
      </c>
      <c r="I260" s="660"/>
      <c r="J260" s="10">
        <f t="shared" si="60"/>
        <v>0</v>
      </c>
      <c r="K260" s="10">
        <f t="shared" si="60"/>
        <v>0</v>
      </c>
      <c r="L260" s="10">
        <f t="shared" si="60"/>
        <v>0</v>
      </c>
      <c r="M260" s="660"/>
      <c r="N260" s="10">
        <f t="shared" si="61"/>
        <v>0</v>
      </c>
      <c r="O260" s="10">
        <f t="shared" si="61"/>
        <v>0</v>
      </c>
      <c r="P260" s="10">
        <f t="shared" si="61"/>
        <v>0</v>
      </c>
      <c r="Q260" s="660"/>
      <c r="R260" s="10">
        <f t="shared" si="62"/>
        <v>0</v>
      </c>
      <c r="S260" s="10">
        <f t="shared" si="62"/>
        <v>0</v>
      </c>
      <c r="T260" s="10">
        <f t="shared" si="62"/>
        <v>0</v>
      </c>
      <c r="U260" s="660"/>
      <c r="V260" s="10">
        <f t="shared" si="63"/>
        <v>0</v>
      </c>
      <c r="W260" s="10">
        <f t="shared" si="63"/>
        <v>0</v>
      </c>
      <c r="X260" s="10">
        <f t="shared" si="63"/>
        <v>0</v>
      </c>
      <c r="Y260" s="660"/>
      <c r="Z260" s="10">
        <f t="shared" si="64"/>
        <v>4.5</v>
      </c>
      <c r="AA260" s="10">
        <f t="shared" si="64"/>
        <v>4.5</v>
      </c>
      <c r="AB260" s="10">
        <f t="shared" si="64"/>
        <v>0</v>
      </c>
    </row>
    <row r="261" spans="1:28" x14ac:dyDescent="0.2">
      <c r="A261" s="8">
        <v>14920</v>
      </c>
      <c r="B261" s="77" t="str">
        <f t="shared" si="65"/>
        <v>Liverpool Plains</v>
      </c>
      <c r="C261" s="9" t="str">
        <f t="shared" si="66"/>
        <v>NIRW</v>
      </c>
      <c r="D261" s="45" t="str">
        <f t="shared" si="67"/>
        <v>N</v>
      </c>
      <c r="E261" s="10" t="str">
        <f t="shared" si="68"/>
        <v>NJO</v>
      </c>
      <c r="F261" s="10">
        <f t="shared" si="59"/>
        <v>60</v>
      </c>
      <c r="G261" s="10">
        <f t="shared" si="59"/>
        <v>0</v>
      </c>
      <c r="H261" s="10">
        <f t="shared" si="59"/>
        <v>60</v>
      </c>
      <c r="I261" s="660"/>
      <c r="J261" s="10">
        <f t="shared" si="60"/>
        <v>0</v>
      </c>
      <c r="K261" s="10">
        <f t="shared" si="60"/>
        <v>0</v>
      </c>
      <c r="L261" s="10">
        <f t="shared" si="60"/>
        <v>0</v>
      </c>
      <c r="M261" s="660"/>
      <c r="N261" s="10">
        <f t="shared" si="61"/>
        <v>0</v>
      </c>
      <c r="O261" s="10">
        <f t="shared" si="61"/>
        <v>0</v>
      </c>
      <c r="P261" s="10">
        <f t="shared" si="61"/>
        <v>0</v>
      </c>
      <c r="Q261" s="660"/>
      <c r="R261" s="10">
        <f t="shared" si="62"/>
        <v>0</v>
      </c>
      <c r="S261" s="10">
        <f t="shared" si="62"/>
        <v>0</v>
      </c>
      <c r="T261" s="10">
        <f t="shared" si="62"/>
        <v>0</v>
      </c>
      <c r="U261" s="660"/>
      <c r="V261" s="10">
        <f t="shared" si="63"/>
        <v>0</v>
      </c>
      <c r="W261" s="10">
        <f t="shared" si="63"/>
        <v>0</v>
      </c>
      <c r="X261" s="10">
        <f t="shared" si="63"/>
        <v>0</v>
      </c>
      <c r="Y261" s="660"/>
      <c r="Z261" s="10">
        <f t="shared" si="64"/>
        <v>11</v>
      </c>
      <c r="AA261" s="10">
        <f t="shared" si="64"/>
        <v>0</v>
      </c>
      <c r="AB261" s="10">
        <f t="shared" si="64"/>
        <v>11</v>
      </c>
    </row>
    <row r="262" spans="1:28" x14ac:dyDescent="0.2">
      <c r="A262" s="8">
        <v>14950</v>
      </c>
      <c r="B262" s="77" t="str">
        <f t="shared" si="65"/>
        <v>Lockhart</v>
      </c>
      <c r="C262" s="9" t="str">
        <f t="shared" si="66"/>
        <v>REROC</v>
      </c>
      <c r="D262" s="45" t="str">
        <f t="shared" si="67"/>
        <v>N</v>
      </c>
      <c r="E262" s="10" t="str">
        <f t="shared" si="68"/>
        <v>RJO</v>
      </c>
      <c r="F262" s="10">
        <f t="shared" ref="F262:H281" si="69">VLOOKUP($A262,$A$3:$AX$130,F$221,FALSE)</f>
        <v>75</v>
      </c>
      <c r="G262" s="10">
        <f t="shared" si="69"/>
        <v>0</v>
      </c>
      <c r="H262" s="10">
        <f t="shared" si="69"/>
        <v>75</v>
      </c>
      <c r="I262" s="660"/>
      <c r="J262" s="10">
        <f t="shared" ref="J262:L281" si="70">VLOOKUP($A262,$A$3:$AX$130,J$221,FALSE)</f>
        <v>0</v>
      </c>
      <c r="K262" s="10">
        <f t="shared" si="70"/>
        <v>0</v>
      </c>
      <c r="L262" s="10">
        <f t="shared" si="70"/>
        <v>0</v>
      </c>
      <c r="M262" s="660"/>
      <c r="N262" s="10">
        <f t="shared" ref="N262:P281" si="71">VLOOKUP($A262,$A$3:$AX$130,N$221,FALSE)</f>
        <v>50</v>
      </c>
      <c r="O262" s="10">
        <f t="shared" si="71"/>
        <v>50</v>
      </c>
      <c r="P262" s="10">
        <f t="shared" si="71"/>
        <v>0</v>
      </c>
      <c r="Q262" s="660"/>
      <c r="R262" s="10">
        <f t="shared" ref="R262:T281" si="72">VLOOKUP($A262,$A$3:$AX$130,R$221,FALSE)</f>
        <v>1</v>
      </c>
      <c r="S262" s="10">
        <f t="shared" si="72"/>
        <v>1</v>
      </c>
      <c r="T262" s="10">
        <f t="shared" si="72"/>
        <v>0</v>
      </c>
      <c r="U262" s="660"/>
      <c r="V262" s="10">
        <f t="shared" ref="V262:X281" si="73">VLOOKUP($A262,$A$3:$AX$130,V$221,FALSE)</f>
        <v>0</v>
      </c>
      <c r="W262" s="10">
        <f t="shared" si="73"/>
        <v>0</v>
      </c>
      <c r="X262" s="10">
        <f t="shared" si="73"/>
        <v>0</v>
      </c>
      <c r="Y262" s="660"/>
      <c r="Z262" s="10">
        <f t="shared" ref="Z262:AB281" si="74">VLOOKUP($A262,$A$3:$AX$130,Z$221,FALSE)</f>
        <v>0</v>
      </c>
      <c r="AA262" s="10">
        <f t="shared" si="74"/>
        <v>0</v>
      </c>
      <c r="AB262" s="10">
        <f t="shared" si="74"/>
        <v>0</v>
      </c>
    </row>
    <row r="263" spans="1:28" x14ac:dyDescent="0.2">
      <c r="A263" s="8">
        <v>15270</v>
      </c>
      <c r="B263" s="77" t="str">
        <f t="shared" si="65"/>
        <v>Mid-Western Regional</v>
      </c>
      <c r="C263" s="9" t="str">
        <f t="shared" si="66"/>
        <v>NetWaste</v>
      </c>
      <c r="D263" s="45" t="str">
        <f t="shared" si="67"/>
        <v>N</v>
      </c>
      <c r="E263" s="10" t="str">
        <f t="shared" si="68"/>
        <v>OJO</v>
      </c>
      <c r="F263" s="10">
        <f t="shared" si="69"/>
        <v>0</v>
      </c>
      <c r="G263" s="10">
        <f t="shared" si="69"/>
        <v>0</v>
      </c>
      <c r="H263" s="10">
        <f t="shared" si="69"/>
        <v>0</v>
      </c>
      <c r="I263" s="660"/>
      <c r="J263" s="10">
        <f t="shared" si="70"/>
        <v>0</v>
      </c>
      <c r="K263" s="10">
        <f t="shared" si="70"/>
        <v>0</v>
      </c>
      <c r="L263" s="10">
        <f t="shared" si="70"/>
        <v>0</v>
      </c>
      <c r="M263" s="660"/>
      <c r="N263" s="10">
        <f t="shared" si="71"/>
        <v>0</v>
      </c>
      <c r="O263" s="10">
        <f t="shared" si="71"/>
        <v>0</v>
      </c>
      <c r="P263" s="10">
        <f t="shared" si="71"/>
        <v>0</v>
      </c>
      <c r="Q263" s="660"/>
      <c r="R263" s="10">
        <f t="shared" si="72"/>
        <v>0</v>
      </c>
      <c r="S263" s="10">
        <f t="shared" si="72"/>
        <v>0</v>
      </c>
      <c r="T263" s="10">
        <f t="shared" si="72"/>
        <v>0</v>
      </c>
      <c r="U263" s="660"/>
      <c r="V263" s="10">
        <f t="shared" si="73"/>
        <v>0</v>
      </c>
      <c r="W263" s="10">
        <f t="shared" si="73"/>
        <v>0</v>
      </c>
      <c r="X263" s="10">
        <f t="shared" si="73"/>
        <v>0</v>
      </c>
      <c r="Y263" s="660"/>
      <c r="Z263" s="10">
        <f t="shared" si="74"/>
        <v>0</v>
      </c>
      <c r="AA263" s="10">
        <f t="shared" si="74"/>
        <v>0</v>
      </c>
      <c r="AB263" s="10">
        <f t="shared" si="74"/>
        <v>0</v>
      </c>
    </row>
    <row r="264" spans="1:28" x14ac:dyDescent="0.2">
      <c r="A264" s="8">
        <v>15300</v>
      </c>
      <c r="B264" s="77" t="str">
        <f t="shared" si="65"/>
        <v>Moree Plains</v>
      </c>
      <c r="C264" s="9" t="str">
        <f t="shared" si="66"/>
        <v>NIRW</v>
      </c>
      <c r="D264" s="45" t="str">
        <f t="shared" si="67"/>
        <v>N</v>
      </c>
      <c r="E264" s="10" t="str">
        <f t="shared" si="68"/>
        <v>NEJO</v>
      </c>
      <c r="F264" s="10">
        <f t="shared" si="69"/>
        <v>88.32</v>
      </c>
      <c r="G264" s="10">
        <f t="shared" si="69"/>
        <v>0</v>
      </c>
      <c r="H264" s="10">
        <f t="shared" si="69"/>
        <v>88.32</v>
      </c>
      <c r="I264" s="660"/>
      <c r="J264" s="10">
        <f t="shared" si="70"/>
        <v>0</v>
      </c>
      <c r="K264" s="10">
        <f t="shared" si="70"/>
        <v>0</v>
      </c>
      <c r="L264" s="10">
        <f t="shared" si="70"/>
        <v>0</v>
      </c>
      <c r="M264" s="660"/>
      <c r="N264" s="10">
        <f t="shared" si="71"/>
        <v>26.76</v>
      </c>
      <c r="O264" s="10">
        <f t="shared" si="71"/>
        <v>26.76</v>
      </c>
      <c r="P264" s="10">
        <f t="shared" si="71"/>
        <v>0</v>
      </c>
      <c r="Q264" s="660"/>
      <c r="R264" s="10">
        <f t="shared" si="72"/>
        <v>0</v>
      </c>
      <c r="S264" s="10">
        <f t="shared" si="72"/>
        <v>0</v>
      </c>
      <c r="T264" s="10">
        <f t="shared" si="72"/>
        <v>0</v>
      </c>
      <c r="U264" s="660"/>
      <c r="V264" s="10">
        <f t="shared" si="73"/>
        <v>0</v>
      </c>
      <c r="W264" s="10">
        <f t="shared" si="73"/>
        <v>0</v>
      </c>
      <c r="X264" s="10">
        <f t="shared" si="73"/>
        <v>0</v>
      </c>
      <c r="Y264" s="660"/>
      <c r="Z264" s="10">
        <f t="shared" si="74"/>
        <v>7.7</v>
      </c>
      <c r="AA264" s="10">
        <f t="shared" si="74"/>
        <v>7.7</v>
      </c>
      <c r="AB264" s="10">
        <f t="shared" si="74"/>
        <v>0</v>
      </c>
    </row>
    <row r="265" spans="1:28" x14ac:dyDescent="0.2">
      <c r="A265" s="8">
        <v>15520</v>
      </c>
      <c r="B265" s="77" t="str">
        <f t="shared" si="65"/>
        <v>Murray River</v>
      </c>
      <c r="C265" s="9" t="str">
        <f t="shared" si="66"/>
        <v>RAMJO Murray</v>
      </c>
      <c r="D265" s="45" t="str">
        <f t="shared" si="67"/>
        <v>N</v>
      </c>
      <c r="E265" s="10" t="str">
        <f t="shared" si="68"/>
        <v>RMJO</v>
      </c>
      <c r="F265" s="10">
        <f t="shared" si="69"/>
        <v>0</v>
      </c>
      <c r="G265" s="10">
        <f t="shared" si="69"/>
        <v>0</v>
      </c>
      <c r="H265" s="10">
        <f t="shared" si="69"/>
        <v>0</v>
      </c>
      <c r="I265" s="660"/>
      <c r="J265" s="10">
        <f t="shared" si="70"/>
        <v>0</v>
      </c>
      <c r="K265" s="10">
        <f t="shared" si="70"/>
        <v>0</v>
      </c>
      <c r="L265" s="10">
        <f t="shared" si="70"/>
        <v>0</v>
      </c>
      <c r="M265" s="660"/>
      <c r="N265" s="10">
        <f t="shared" si="71"/>
        <v>0</v>
      </c>
      <c r="O265" s="10">
        <f t="shared" si="71"/>
        <v>0</v>
      </c>
      <c r="P265" s="10">
        <f t="shared" si="71"/>
        <v>0</v>
      </c>
      <c r="Q265" s="660"/>
      <c r="R265" s="10">
        <f t="shared" si="72"/>
        <v>0</v>
      </c>
      <c r="S265" s="10">
        <f t="shared" si="72"/>
        <v>0</v>
      </c>
      <c r="T265" s="10">
        <f t="shared" si="72"/>
        <v>0</v>
      </c>
      <c r="U265" s="660"/>
      <c r="V265" s="10">
        <f t="shared" si="73"/>
        <v>0</v>
      </c>
      <c r="W265" s="10">
        <f t="shared" si="73"/>
        <v>0</v>
      </c>
      <c r="X265" s="10">
        <f t="shared" si="73"/>
        <v>0</v>
      </c>
      <c r="Y265" s="660"/>
      <c r="Z265" s="10">
        <f t="shared" si="74"/>
        <v>0</v>
      </c>
      <c r="AA265" s="10">
        <f t="shared" si="74"/>
        <v>0</v>
      </c>
      <c r="AB265" s="10">
        <f t="shared" si="74"/>
        <v>0</v>
      </c>
    </row>
    <row r="266" spans="1:28" x14ac:dyDescent="0.2">
      <c r="A266" s="8">
        <v>15560</v>
      </c>
      <c r="B266" s="77" t="str">
        <f t="shared" si="65"/>
        <v>Murrumbidgee</v>
      </c>
      <c r="C266" s="9" t="str">
        <f t="shared" si="66"/>
        <v>RAMJO Riverina</v>
      </c>
      <c r="D266" s="45" t="str">
        <f t="shared" si="67"/>
        <v>N</v>
      </c>
      <c r="E266" s="10" t="str">
        <f t="shared" si="68"/>
        <v>RMJO</v>
      </c>
      <c r="F266" s="10">
        <f t="shared" si="69"/>
        <v>17</v>
      </c>
      <c r="G266" s="10">
        <f t="shared" si="69"/>
        <v>0</v>
      </c>
      <c r="H266" s="10">
        <f t="shared" si="69"/>
        <v>17</v>
      </c>
      <c r="I266" s="660"/>
      <c r="J266" s="10">
        <f t="shared" si="70"/>
        <v>1</v>
      </c>
      <c r="K266" s="10">
        <f t="shared" si="70"/>
        <v>0</v>
      </c>
      <c r="L266" s="10">
        <f t="shared" si="70"/>
        <v>1</v>
      </c>
      <c r="M266" s="660"/>
      <c r="N266" s="10">
        <f t="shared" si="71"/>
        <v>31.5</v>
      </c>
      <c r="O266" s="10">
        <f t="shared" si="71"/>
        <v>1.5</v>
      </c>
      <c r="P266" s="10">
        <f t="shared" si="71"/>
        <v>30</v>
      </c>
      <c r="Q266" s="660"/>
      <c r="R266" s="10">
        <f t="shared" si="72"/>
        <v>4</v>
      </c>
      <c r="S266" s="10">
        <f t="shared" si="72"/>
        <v>4</v>
      </c>
      <c r="T266" s="10">
        <f t="shared" si="72"/>
        <v>0</v>
      </c>
      <c r="U266" s="660"/>
      <c r="V266" s="10">
        <f t="shared" si="73"/>
        <v>0</v>
      </c>
      <c r="W266" s="10">
        <f t="shared" si="73"/>
        <v>0</v>
      </c>
      <c r="X266" s="10">
        <f t="shared" si="73"/>
        <v>0</v>
      </c>
      <c r="Y266" s="660"/>
      <c r="Z266" s="10">
        <f t="shared" si="74"/>
        <v>1.5</v>
      </c>
      <c r="AA266" s="10">
        <f t="shared" si="74"/>
        <v>0</v>
      </c>
      <c r="AB266" s="10">
        <f t="shared" si="74"/>
        <v>1.5</v>
      </c>
    </row>
    <row r="267" spans="1:28" x14ac:dyDescent="0.2">
      <c r="A267" s="8">
        <v>15750</v>
      </c>
      <c r="B267" s="77" t="str">
        <f t="shared" si="65"/>
        <v>Narrabri</v>
      </c>
      <c r="C267" s="9" t="str">
        <f t="shared" si="66"/>
        <v>NIRW</v>
      </c>
      <c r="D267" s="45" t="str">
        <f t="shared" si="67"/>
        <v>N</v>
      </c>
      <c r="E267" s="10" t="str">
        <f t="shared" si="68"/>
        <v>NEJO</v>
      </c>
      <c r="F267" s="10">
        <f t="shared" si="69"/>
        <v>23.02</v>
      </c>
      <c r="G267" s="10">
        <f t="shared" si="69"/>
        <v>0</v>
      </c>
      <c r="H267" s="10">
        <f t="shared" si="69"/>
        <v>23.02</v>
      </c>
      <c r="I267" s="660"/>
      <c r="J267" s="10">
        <f t="shared" si="70"/>
        <v>0</v>
      </c>
      <c r="K267" s="10">
        <f t="shared" si="70"/>
        <v>0</v>
      </c>
      <c r="L267" s="10">
        <f t="shared" si="70"/>
        <v>0</v>
      </c>
      <c r="M267" s="660"/>
      <c r="N267" s="10">
        <f t="shared" si="71"/>
        <v>0</v>
      </c>
      <c r="O267" s="10">
        <f t="shared" si="71"/>
        <v>0</v>
      </c>
      <c r="P267" s="10">
        <f t="shared" si="71"/>
        <v>0</v>
      </c>
      <c r="Q267" s="660"/>
      <c r="R267" s="10">
        <f t="shared" si="72"/>
        <v>0</v>
      </c>
      <c r="S267" s="10">
        <f t="shared" si="72"/>
        <v>0</v>
      </c>
      <c r="T267" s="10">
        <f t="shared" si="72"/>
        <v>0</v>
      </c>
      <c r="U267" s="660"/>
      <c r="V267" s="10">
        <f t="shared" si="73"/>
        <v>0</v>
      </c>
      <c r="W267" s="10">
        <f t="shared" si="73"/>
        <v>0</v>
      </c>
      <c r="X267" s="10">
        <f t="shared" si="73"/>
        <v>0</v>
      </c>
      <c r="Y267" s="660"/>
      <c r="Z267" s="10">
        <f t="shared" si="74"/>
        <v>0</v>
      </c>
      <c r="AA267" s="10">
        <f t="shared" si="74"/>
        <v>0</v>
      </c>
      <c r="AB267" s="10">
        <f t="shared" si="74"/>
        <v>0</v>
      </c>
    </row>
    <row r="268" spans="1:28" x14ac:dyDescent="0.2">
      <c r="A268" s="8">
        <v>15800</v>
      </c>
      <c r="B268" s="77" t="str">
        <f t="shared" si="65"/>
        <v>Narrandera</v>
      </c>
      <c r="C268" s="9" t="str">
        <f t="shared" si="66"/>
        <v>RAMJO Riverina</v>
      </c>
      <c r="D268" s="45" t="str">
        <f t="shared" si="67"/>
        <v>N</v>
      </c>
      <c r="E268" s="10" t="str">
        <f t="shared" si="68"/>
        <v>RMJO</v>
      </c>
      <c r="F268" s="10">
        <f t="shared" si="69"/>
        <v>0</v>
      </c>
      <c r="G268" s="10">
        <f t="shared" si="69"/>
        <v>0</v>
      </c>
      <c r="H268" s="10">
        <f t="shared" si="69"/>
        <v>0</v>
      </c>
      <c r="I268" s="660"/>
      <c r="J268" s="10">
        <f t="shared" si="70"/>
        <v>0</v>
      </c>
      <c r="K268" s="10">
        <f t="shared" si="70"/>
        <v>0</v>
      </c>
      <c r="L268" s="10">
        <f t="shared" si="70"/>
        <v>0</v>
      </c>
      <c r="M268" s="660"/>
      <c r="N268" s="10">
        <f t="shared" si="71"/>
        <v>0</v>
      </c>
      <c r="O268" s="10">
        <f t="shared" si="71"/>
        <v>0</v>
      </c>
      <c r="P268" s="10">
        <f t="shared" si="71"/>
        <v>0</v>
      </c>
      <c r="Q268" s="660"/>
      <c r="R268" s="10">
        <f t="shared" si="72"/>
        <v>0</v>
      </c>
      <c r="S268" s="10">
        <f t="shared" si="72"/>
        <v>0</v>
      </c>
      <c r="T268" s="10">
        <f t="shared" si="72"/>
        <v>0</v>
      </c>
      <c r="U268" s="660"/>
      <c r="V268" s="10">
        <f t="shared" si="73"/>
        <v>0</v>
      </c>
      <c r="W268" s="10">
        <f t="shared" si="73"/>
        <v>0</v>
      </c>
      <c r="X268" s="10">
        <f t="shared" si="73"/>
        <v>0</v>
      </c>
      <c r="Y268" s="660"/>
      <c r="Z268" s="10">
        <f t="shared" si="74"/>
        <v>0</v>
      </c>
      <c r="AA268" s="10">
        <f t="shared" si="74"/>
        <v>0</v>
      </c>
      <c r="AB268" s="10">
        <f t="shared" si="74"/>
        <v>0</v>
      </c>
    </row>
    <row r="269" spans="1:28" x14ac:dyDescent="0.2">
      <c r="A269" s="8">
        <v>15850</v>
      </c>
      <c r="B269" s="77" t="str">
        <f t="shared" si="65"/>
        <v>Narromine</v>
      </c>
      <c r="C269" s="9" t="str">
        <f t="shared" si="66"/>
        <v>NetWaste</v>
      </c>
      <c r="D269" s="45" t="str">
        <f t="shared" si="67"/>
        <v>N</v>
      </c>
      <c r="E269" s="10" t="str">
        <f t="shared" si="68"/>
        <v>OJO</v>
      </c>
      <c r="F269" s="10">
        <f t="shared" si="69"/>
        <v>0</v>
      </c>
      <c r="G269" s="10">
        <f t="shared" si="69"/>
        <v>0</v>
      </c>
      <c r="H269" s="10">
        <f t="shared" si="69"/>
        <v>0</v>
      </c>
      <c r="I269" s="660"/>
      <c r="J269" s="10">
        <f t="shared" si="70"/>
        <v>0</v>
      </c>
      <c r="K269" s="10">
        <f t="shared" si="70"/>
        <v>0</v>
      </c>
      <c r="L269" s="10">
        <f t="shared" si="70"/>
        <v>0</v>
      </c>
      <c r="M269" s="660"/>
      <c r="N269" s="10">
        <f t="shared" si="71"/>
        <v>0</v>
      </c>
      <c r="O269" s="10">
        <f t="shared" si="71"/>
        <v>0</v>
      </c>
      <c r="P269" s="10">
        <f t="shared" si="71"/>
        <v>0</v>
      </c>
      <c r="Q269" s="660"/>
      <c r="R269" s="10">
        <f t="shared" si="72"/>
        <v>0</v>
      </c>
      <c r="S269" s="10">
        <f t="shared" si="72"/>
        <v>0</v>
      </c>
      <c r="T269" s="10">
        <f t="shared" si="72"/>
        <v>0</v>
      </c>
      <c r="U269" s="660"/>
      <c r="V269" s="10">
        <f t="shared" si="73"/>
        <v>0</v>
      </c>
      <c r="W269" s="10">
        <f t="shared" si="73"/>
        <v>0</v>
      </c>
      <c r="X269" s="10">
        <f t="shared" si="73"/>
        <v>0</v>
      </c>
      <c r="Y269" s="660"/>
      <c r="Z269" s="10">
        <f t="shared" si="74"/>
        <v>0</v>
      </c>
      <c r="AA269" s="10">
        <f t="shared" si="74"/>
        <v>0</v>
      </c>
      <c r="AB269" s="10">
        <f t="shared" si="74"/>
        <v>0</v>
      </c>
    </row>
    <row r="270" spans="1:28" x14ac:dyDescent="0.2">
      <c r="A270" s="8">
        <v>16100</v>
      </c>
      <c r="B270" s="77" t="str">
        <f t="shared" si="65"/>
        <v>Oberon</v>
      </c>
      <c r="C270" s="9" t="str">
        <f t="shared" si="66"/>
        <v>NetWaste</v>
      </c>
      <c r="D270" s="45" t="str">
        <f t="shared" si="67"/>
        <v>N</v>
      </c>
      <c r="E270" s="10" t="str">
        <f t="shared" si="68"/>
        <v>CNJO</v>
      </c>
      <c r="F270" s="10">
        <f t="shared" si="69"/>
        <v>86.63</v>
      </c>
      <c r="G270" s="10">
        <f t="shared" si="69"/>
        <v>0</v>
      </c>
      <c r="H270" s="10">
        <f t="shared" si="69"/>
        <v>86.63</v>
      </c>
      <c r="I270" s="660"/>
      <c r="J270" s="10">
        <f t="shared" si="70"/>
        <v>1.64</v>
      </c>
      <c r="K270" s="10">
        <f t="shared" si="70"/>
        <v>0</v>
      </c>
      <c r="L270" s="10">
        <f t="shared" si="70"/>
        <v>1.64</v>
      </c>
      <c r="M270" s="660"/>
      <c r="N270" s="10">
        <f t="shared" si="71"/>
        <v>13.5</v>
      </c>
      <c r="O270" s="10">
        <f t="shared" si="71"/>
        <v>13.5</v>
      </c>
      <c r="P270" s="10">
        <f t="shared" si="71"/>
        <v>0</v>
      </c>
      <c r="Q270" s="660"/>
      <c r="R270" s="10">
        <f t="shared" si="72"/>
        <v>0</v>
      </c>
      <c r="S270" s="10">
        <f t="shared" si="72"/>
        <v>0</v>
      </c>
      <c r="T270" s="10">
        <f t="shared" si="72"/>
        <v>0</v>
      </c>
      <c r="U270" s="660"/>
      <c r="V270" s="10">
        <f t="shared" si="73"/>
        <v>0</v>
      </c>
      <c r="W270" s="10">
        <f t="shared" si="73"/>
        <v>0</v>
      </c>
      <c r="X270" s="10">
        <f t="shared" si="73"/>
        <v>0</v>
      </c>
      <c r="Y270" s="660"/>
      <c r="Z270" s="10">
        <f t="shared" si="74"/>
        <v>7.23</v>
      </c>
      <c r="AA270" s="10">
        <f t="shared" si="74"/>
        <v>7.23</v>
      </c>
      <c r="AB270" s="10">
        <f t="shared" si="74"/>
        <v>0</v>
      </c>
    </row>
    <row r="271" spans="1:28" x14ac:dyDescent="0.2">
      <c r="A271" s="8">
        <v>16150</v>
      </c>
      <c r="B271" s="77" t="str">
        <f t="shared" si="65"/>
        <v>Orange</v>
      </c>
      <c r="C271" s="9" t="str">
        <f t="shared" si="66"/>
        <v>NetWaste</v>
      </c>
      <c r="D271" s="45" t="str">
        <f t="shared" si="67"/>
        <v>N</v>
      </c>
      <c r="E271" s="10" t="str">
        <f t="shared" si="68"/>
        <v>CNJO</v>
      </c>
      <c r="F271" s="10">
        <f t="shared" si="69"/>
        <v>506.94</v>
      </c>
      <c r="G271" s="10">
        <f t="shared" si="69"/>
        <v>0</v>
      </c>
      <c r="H271" s="10">
        <f t="shared" si="69"/>
        <v>506.94</v>
      </c>
      <c r="I271" s="660"/>
      <c r="J271" s="10">
        <f t="shared" si="70"/>
        <v>14.35</v>
      </c>
      <c r="K271" s="10">
        <f t="shared" si="70"/>
        <v>14.35</v>
      </c>
      <c r="L271" s="10">
        <f t="shared" si="70"/>
        <v>0</v>
      </c>
      <c r="M271" s="660"/>
      <c r="N271" s="10">
        <f t="shared" si="71"/>
        <v>88.46</v>
      </c>
      <c r="O271" s="10">
        <f t="shared" si="71"/>
        <v>88.46</v>
      </c>
      <c r="P271" s="10">
        <f t="shared" si="71"/>
        <v>0</v>
      </c>
      <c r="Q271" s="660"/>
      <c r="R271" s="10">
        <f t="shared" si="72"/>
        <v>0</v>
      </c>
      <c r="S271" s="10">
        <f t="shared" si="72"/>
        <v>0</v>
      </c>
      <c r="T271" s="10">
        <f t="shared" si="72"/>
        <v>0</v>
      </c>
      <c r="U271" s="660"/>
      <c r="V271" s="10">
        <f t="shared" si="73"/>
        <v>0</v>
      </c>
      <c r="W271" s="10">
        <f t="shared" si="73"/>
        <v>0</v>
      </c>
      <c r="X271" s="10">
        <f t="shared" si="73"/>
        <v>0</v>
      </c>
      <c r="Y271" s="660"/>
      <c r="Z271" s="10">
        <f t="shared" si="74"/>
        <v>6</v>
      </c>
      <c r="AA271" s="10">
        <f t="shared" si="74"/>
        <v>6</v>
      </c>
      <c r="AB271" s="10">
        <f t="shared" si="74"/>
        <v>0</v>
      </c>
    </row>
    <row r="272" spans="1:28" x14ac:dyDescent="0.2">
      <c r="A272" s="8">
        <v>16200</v>
      </c>
      <c r="B272" s="77" t="str">
        <f t="shared" si="65"/>
        <v>Parkes</v>
      </c>
      <c r="C272" s="9" t="str">
        <f t="shared" si="66"/>
        <v>NetWaste</v>
      </c>
      <c r="D272" s="45" t="str">
        <f t="shared" si="67"/>
        <v>N</v>
      </c>
      <c r="E272" s="10" t="str">
        <f t="shared" si="68"/>
        <v>CNJO</v>
      </c>
      <c r="F272" s="10">
        <f t="shared" si="69"/>
        <v>66</v>
      </c>
      <c r="G272" s="10">
        <f t="shared" si="69"/>
        <v>5</v>
      </c>
      <c r="H272" s="10">
        <f t="shared" si="69"/>
        <v>61</v>
      </c>
      <c r="I272" s="660"/>
      <c r="J272" s="10">
        <f t="shared" si="70"/>
        <v>4</v>
      </c>
      <c r="K272" s="10">
        <f t="shared" si="70"/>
        <v>0</v>
      </c>
      <c r="L272" s="10">
        <f t="shared" si="70"/>
        <v>4</v>
      </c>
      <c r="M272" s="660"/>
      <c r="N272" s="10">
        <f t="shared" si="71"/>
        <v>5</v>
      </c>
      <c r="O272" s="10">
        <f t="shared" si="71"/>
        <v>5</v>
      </c>
      <c r="P272" s="10">
        <f t="shared" si="71"/>
        <v>0</v>
      </c>
      <c r="Q272" s="660"/>
      <c r="R272" s="10">
        <f t="shared" si="72"/>
        <v>0.06</v>
      </c>
      <c r="S272" s="10">
        <f t="shared" si="72"/>
        <v>0.06</v>
      </c>
      <c r="T272" s="10">
        <f t="shared" si="72"/>
        <v>0</v>
      </c>
      <c r="U272" s="660"/>
      <c r="V272" s="10">
        <f t="shared" si="73"/>
        <v>0</v>
      </c>
      <c r="W272" s="10">
        <f t="shared" si="73"/>
        <v>0</v>
      </c>
      <c r="X272" s="10">
        <f t="shared" si="73"/>
        <v>0</v>
      </c>
      <c r="Y272" s="660"/>
      <c r="Z272" s="10">
        <f t="shared" si="74"/>
        <v>0</v>
      </c>
      <c r="AA272" s="10">
        <f t="shared" si="74"/>
        <v>0</v>
      </c>
      <c r="AB272" s="10">
        <f t="shared" si="74"/>
        <v>0</v>
      </c>
    </row>
    <row r="273" spans="1:28" x14ac:dyDescent="0.2">
      <c r="A273" s="8">
        <v>16490</v>
      </c>
      <c r="B273" s="77" t="str">
        <f t="shared" si="65"/>
        <v>Queanbeyan-Palerang Regional</v>
      </c>
      <c r="C273" s="9" t="str">
        <f t="shared" si="66"/>
        <v>CRJO</v>
      </c>
      <c r="D273" s="45" t="str">
        <f t="shared" si="67"/>
        <v>N</v>
      </c>
      <c r="E273" s="10" t="str">
        <f t="shared" si="68"/>
        <v>CRJO</v>
      </c>
      <c r="F273" s="10">
        <f t="shared" si="69"/>
        <v>347.34</v>
      </c>
      <c r="G273" s="10">
        <f t="shared" si="69"/>
        <v>0</v>
      </c>
      <c r="H273" s="10">
        <f t="shared" si="69"/>
        <v>347.34</v>
      </c>
      <c r="I273" s="660"/>
      <c r="J273" s="10">
        <f t="shared" si="70"/>
        <v>45</v>
      </c>
      <c r="K273" s="10">
        <f t="shared" si="70"/>
        <v>45</v>
      </c>
      <c r="L273" s="10">
        <f t="shared" si="70"/>
        <v>0</v>
      </c>
      <c r="M273" s="660"/>
      <c r="N273" s="10">
        <f t="shared" si="71"/>
        <v>0</v>
      </c>
      <c r="O273" s="10">
        <f t="shared" si="71"/>
        <v>0</v>
      </c>
      <c r="P273" s="10">
        <f t="shared" si="71"/>
        <v>0</v>
      </c>
      <c r="Q273" s="660"/>
      <c r="R273" s="10">
        <f t="shared" si="72"/>
        <v>0</v>
      </c>
      <c r="S273" s="10">
        <f t="shared" si="72"/>
        <v>0</v>
      </c>
      <c r="T273" s="10">
        <f t="shared" si="72"/>
        <v>0</v>
      </c>
      <c r="U273" s="660"/>
      <c r="V273" s="10">
        <f t="shared" si="73"/>
        <v>0</v>
      </c>
      <c r="W273" s="10">
        <f t="shared" si="73"/>
        <v>0</v>
      </c>
      <c r="X273" s="10">
        <f t="shared" si="73"/>
        <v>0</v>
      </c>
      <c r="Y273" s="660"/>
      <c r="Z273" s="10">
        <f t="shared" si="74"/>
        <v>0</v>
      </c>
      <c r="AA273" s="10">
        <f t="shared" si="74"/>
        <v>0</v>
      </c>
      <c r="AB273" s="10">
        <f t="shared" si="74"/>
        <v>0</v>
      </c>
    </row>
    <row r="274" spans="1:28" x14ac:dyDescent="0.2">
      <c r="A274" s="8">
        <v>17040</v>
      </c>
      <c r="B274" s="77" t="str">
        <f t="shared" si="65"/>
        <v>Snowy Monaro Regional</v>
      </c>
      <c r="C274" s="9" t="str">
        <f t="shared" si="66"/>
        <v>CRJO</v>
      </c>
      <c r="D274" s="45" t="str">
        <f t="shared" si="67"/>
        <v>N</v>
      </c>
      <c r="E274" s="10" t="str">
        <f t="shared" si="68"/>
        <v>CRJO</v>
      </c>
      <c r="F274" s="10">
        <f t="shared" si="69"/>
        <v>0</v>
      </c>
      <c r="G274" s="10">
        <f t="shared" si="69"/>
        <v>0</v>
      </c>
      <c r="H274" s="10">
        <f t="shared" si="69"/>
        <v>0</v>
      </c>
      <c r="I274" s="660"/>
      <c r="J274" s="10">
        <f t="shared" si="70"/>
        <v>0</v>
      </c>
      <c r="K274" s="10">
        <f t="shared" si="70"/>
        <v>0</v>
      </c>
      <c r="L274" s="10">
        <f t="shared" si="70"/>
        <v>0</v>
      </c>
      <c r="M274" s="660"/>
      <c r="N274" s="10">
        <f t="shared" si="71"/>
        <v>0</v>
      </c>
      <c r="O274" s="10">
        <f t="shared" si="71"/>
        <v>0</v>
      </c>
      <c r="P274" s="10">
        <f t="shared" si="71"/>
        <v>0</v>
      </c>
      <c r="Q274" s="660"/>
      <c r="R274" s="10">
        <f t="shared" si="72"/>
        <v>0</v>
      </c>
      <c r="S274" s="10">
        <f t="shared" si="72"/>
        <v>0</v>
      </c>
      <c r="T274" s="10">
        <f t="shared" si="72"/>
        <v>0</v>
      </c>
      <c r="U274" s="660"/>
      <c r="V274" s="10">
        <f t="shared" si="73"/>
        <v>0</v>
      </c>
      <c r="W274" s="10">
        <f t="shared" si="73"/>
        <v>0</v>
      </c>
      <c r="X274" s="10">
        <f t="shared" si="73"/>
        <v>0</v>
      </c>
      <c r="Y274" s="660"/>
      <c r="Z274" s="10">
        <f t="shared" si="74"/>
        <v>0</v>
      </c>
      <c r="AA274" s="10">
        <f t="shared" si="74"/>
        <v>0</v>
      </c>
      <c r="AB274" s="10">
        <f t="shared" si="74"/>
        <v>0</v>
      </c>
    </row>
    <row r="275" spans="1:28" x14ac:dyDescent="0.2">
      <c r="A275" s="8">
        <v>17080</v>
      </c>
      <c r="B275" s="77" t="str">
        <f t="shared" si="65"/>
        <v>Snowy Valleys</v>
      </c>
      <c r="C275" s="9" t="str">
        <f t="shared" si="66"/>
        <v>CRJO</v>
      </c>
      <c r="D275" s="45" t="str">
        <f t="shared" si="67"/>
        <v>N</v>
      </c>
      <c r="E275" s="10" t="str">
        <f t="shared" si="68"/>
        <v>CRJO</v>
      </c>
      <c r="F275" s="10">
        <f t="shared" si="69"/>
        <v>0</v>
      </c>
      <c r="G275" s="10">
        <f t="shared" si="69"/>
        <v>0</v>
      </c>
      <c r="H275" s="10">
        <f t="shared" si="69"/>
        <v>0</v>
      </c>
      <c r="I275" s="660"/>
      <c r="J275" s="10">
        <f t="shared" si="70"/>
        <v>0</v>
      </c>
      <c r="K275" s="10">
        <f t="shared" si="70"/>
        <v>0</v>
      </c>
      <c r="L275" s="10">
        <f t="shared" si="70"/>
        <v>0</v>
      </c>
      <c r="M275" s="660"/>
      <c r="N275" s="10">
        <f t="shared" si="71"/>
        <v>0</v>
      </c>
      <c r="O275" s="10">
        <f t="shared" si="71"/>
        <v>0</v>
      </c>
      <c r="P275" s="10">
        <f t="shared" si="71"/>
        <v>0</v>
      </c>
      <c r="Q275" s="660"/>
      <c r="R275" s="10">
        <f t="shared" si="72"/>
        <v>0</v>
      </c>
      <c r="S275" s="10">
        <f t="shared" si="72"/>
        <v>0</v>
      </c>
      <c r="T275" s="10">
        <f t="shared" si="72"/>
        <v>0</v>
      </c>
      <c r="U275" s="660"/>
      <c r="V275" s="10">
        <f t="shared" si="73"/>
        <v>0</v>
      </c>
      <c r="W275" s="10">
        <f t="shared" si="73"/>
        <v>0</v>
      </c>
      <c r="X275" s="10">
        <f t="shared" si="73"/>
        <v>0</v>
      </c>
      <c r="Y275" s="660"/>
      <c r="Z275" s="10">
        <f t="shared" si="74"/>
        <v>0</v>
      </c>
      <c r="AA275" s="10">
        <f t="shared" si="74"/>
        <v>0</v>
      </c>
      <c r="AB275" s="10">
        <f t="shared" si="74"/>
        <v>0</v>
      </c>
    </row>
    <row r="276" spans="1:28" x14ac:dyDescent="0.2">
      <c r="A276" s="8">
        <v>17310</v>
      </c>
      <c r="B276" s="77" t="str">
        <f t="shared" si="65"/>
        <v>Tamworth Regional</v>
      </c>
      <c r="C276" s="9" t="str">
        <f t="shared" si="66"/>
        <v>NIRW</v>
      </c>
      <c r="D276" s="45" t="str">
        <f t="shared" si="67"/>
        <v>N</v>
      </c>
      <c r="E276" s="10" t="str">
        <f t="shared" si="68"/>
        <v>NJO</v>
      </c>
      <c r="F276" s="10">
        <f t="shared" si="69"/>
        <v>0.96</v>
      </c>
      <c r="G276" s="10">
        <f t="shared" si="69"/>
        <v>0</v>
      </c>
      <c r="H276" s="10">
        <f t="shared" si="69"/>
        <v>0.96</v>
      </c>
      <c r="I276" s="660"/>
      <c r="J276" s="10">
        <f t="shared" si="70"/>
        <v>0</v>
      </c>
      <c r="K276" s="10">
        <f t="shared" si="70"/>
        <v>0</v>
      </c>
      <c r="L276" s="10">
        <f t="shared" si="70"/>
        <v>0</v>
      </c>
      <c r="M276" s="660"/>
      <c r="N276" s="10">
        <f t="shared" si="71"/>
        <v>0</v>
      </c>
      <c r="O276" s="10">
        <f t="shared" si="71"/>
        <v>0</v>
      </c>
      <c r="P276" s="10">
        <f t="shared" si="71"/>
        <v>0</v>
      </c>
      <c r="Q276" s="660"/>
      <c r="R276" s="10">
        <f t="shared" si="72"/>
        <v>0</v>
      </c>
      <c r="S276" s="10">
        <f t="shared" si="72"/>
        <v>0</v>
      </c>
      <c r="T276" s="10">
        <f t="shared" si="72"/>
        <v>0</v>
      </c>
      <c r="U276" s="660"/>
      <c r="V276" s="10">
        <f t="shared" si="73"/>
        <v>0</v>
      </c>
      <c r="W276" s="10">
        <f t="shared" si="73"/>
        <v>0</v>
      </c>
      <c r="X276" s="10">
        <f t="shared" si="73"/>
        <v>0</v>
      </c>
      <c r="Y276" s="660"/>
      <c r="Z276" s="10">
        <f t="shared" si="74"/>
        <v>0</v>
      </c>
      <c r="AA276" s="10">
        <f t="shared" si="74"/>
        <v>0</v>
      </c>
      <c r="AB276" s="10">
        <f t="shared" si="74"/>
        <v>0</v>
      </c>
    </row>
    <row r="277" spans="1:28" x14ac:dyDescent="0.2">
      <c r="A277" s="8">
        <v>17350</v>
      </c>
      <c r="B277" s="77" t="str">
        <f t="shared" si="65"/>
        <v>Temora</v>
      </c>
      <c r="C277" s="9" t="str">
        <f t="shared" si="66"/>
        <v>REROC</v>
      </c>
      <c r="D277" s="45" t="str">
        <f t="shared" si="67"/>
        <v>N</v>
      </c>
      <c r="E277" s="10" t="str">
        <f t="shared" si="68"/>
        <v>RJO</v>
      </c>
      <c r="F277" s="10">
        <f t="shared" si="69"/>
        <v>25</v>
      </c>
      <c r="G277" s="10">
        <f t="shared" si="69"/>
        <v>0</v>
      </c>
      <c r="H277" s="10">
        <f t="shared" si="69"/>
        <v>25</v>
      </c>
      <c r="I277" s="660"/>
      <c r="J277" s="10">
        <f t="shared" si="70"/>
        <v>0</v>
      </c>
      <c r="K277" s="10">
        <f t="shared" si="70"/>
        <v>0</v>
      </c>
      <c r="L277" s="10">
        <f t="shared" si="70"/>
        <v>0</v>
      </c>
      <c r="M277" s="660"/>
      <c r="N277" s="10">
        <f t="shared" si="71"/>
        <v>0</v>
      </c>
      <c r="O277" s="10">
        <f t="shared" si="71"/>
        <v>0</v>
      </c>
      <c r="P277" s="10">
        <f t="shared" si="71"/>
        <v>0</v>
      </c>
      <c r="Q277" s="660"/>
      <c r="R277" s="10">
        <f t="shared" si="72"/>
        <v>0</v>
      </c>
      <c r="S277" s="10">
        <f t="shared" si="72"/>
        <v>0</v>
      </c>
      <c r="T277" s="10">
        <f t="shared" si="72"/>
        <v>0</v>
      </c>
      <c r="U277" s="660"/>
      <c r="V277" s="10">
        <f t="shared" si="73"/>
        <v>0</v>
      </c>
      <c r="W277" s="10">
        <f t="shared" si="73"/>
        <v>0</v>
      </c>
      <c r="X277" s="10">
        <f t="shared" si="73"/>
        <v>0</v>
      </c>
      <c r="Y277" s="660"/>
      <c r="Z277" s="10">
        <f t="shared" si="74"/>
        <v>5</v>
      </c>
      <c r="AA277" s="10">
        <f t="shared" si="74"/>
        <v>0</v>
      </c>
      <c r="AB277" s="10">
        <f t="shared" si="74"/>
        <v>5</v>
      </c>
    </row>
    <row r="278" spans="1:28" x14ac:dyDescent="0.2">
      <c r="A278" s="8">
        <v>17400</v>
      </c>
      <c r="B278" s="77" t="str">
        <f t="shared" si="65"/>
        <v>Tenterfield</v>
      </c>
      <c r="C278" s="9" t="str">
        <f t="shared" si="66"/>
        <v>NIRW</v>
      </c>
      <c r="D278" s="45" t="str">
        <f t="shared" si="67"/>
        <v>N</v>
      </c>
      <c r="E278" s="10" t="str">
        <f t="shared" si="68"/>
        <v>NEJO</v>
      </c>
      <c r="F278" s="10">
        <f t="shared" si="69"/>
        <v>0</v>
      </c>
      <c r="G278" s="10">
        <f t="shared" si="69"/>
        <v>0</v>
      </c>
      <c r="H278" s="10">
        <f t="shared" si="69"/>
        <v>0</v>
      </c>
      <c r="I278" s="660"/>
      <c r="J278" s="10">
        <f t="shared" si="70"/>
        <v>0</v>
      </c>
      <c r="K278" s="10">
        <f t="shared" si="70"/>
        <v>0</v>
      </c>
      <c r="L278" s="10">
        <f t="shared" si="70"/>
        <v>0</v>
      </c>
      <c r="M278" s="660"/>
      <c r="N278" s="10">
        <f t="shared" si="71"/>
        <v>0</v>
      </c>
      <c r="O278" s="10">
        <f t="shared" si="71"/>
        <v>0</v>
      </c>
      <c r="P278" s="10">
        <f t="shared" si="71"/>
        <v>0</v>
      </c>
      <c r="Q278" s="660"/>
      <c r="R278" s="10">
        <f t="shared" si="72"/>
        <v>0</v>
      </c>
      <c r="S278" s="10">
        <f t="shared" si="72"/>
        <v>0</v>
      </c>
      <c r="T278" s="10">
        <f t="shared" si="72"/>
        <v>0</v>
      </c>
      <c r="U278" s="660"/>
      <c r="V278" s="10">
        <f t="shared" si="73"/>
        <v>0</v>
      </c>
      <c r="W278" s="10">
        <f t="shared" si="73"/>
        <v>0</v>
      </c>
      <c r="X278" s="10">
        <f t="shared" si="73"/>
        <v>0</v>
      </c>
      <c r="Y278" s="660"/>
      <c r="Z278" s="10">
        <f t="shared" si="74"/>
        <v>0</v>
      </c>
      <c r="AA278" s="10">
        <f t="shared" si="74"/>
        <v>0</v>
      </c>
      <c r="AB278" s="10">
        <f t="shared" si="74"/>
        <v>0</v>
      </c>
    </row>
    <row r="279" spans="1:28" x14ac:dyDescent="0.2">
      <c r="A279" s="8">
        <v>17640</v>
      </c>
      <c r="B279" s="77" t="str">
        <f t="shared" si="65"/>
        <v>Upper Lachlan Shire</v>
      </c>
      <c r="C279" s="9" t="str">
        <f t="shared" si="66"/>
        <v>CRJO</v>
      </c>
      <c r="D279" s="45" t="str">
        <f t="shared" si="67"/>
        <v>N</v>
      </c>
      <c r="E279" s="10" t="str">
        <f t="shared" si="68"/>
        <v>CRJO</v>
      </c>
      <c r="F279" s="10">
        <f t="shared" si="69"/>
        <v>0</v>
      </c>
      <c r="G279" s="10">
        <f t="shared" si="69"/>
        <v>0</v>
      </c>
      <c r="H279" s="10">
        <f t="shared" si="69"/>
        <v>0</v>
      </c>
      <c r="I279" s="660"/>
      <c r="J279" s="10">
        <f t="shared" si="70"/>
        <v>0</v>
      </c>
      <c r="K279" s="10">
        <f t="shared" si="70"/>
        <v>0</v>
      </c>
      <c r="L279" s="10">
        <f t="shared" si="70"/>
        <v>0</v>
      </c>
      <c r="M279" s="660"/>
      <c r="N279" s="10">
        <f t="shared" si="71"/>
        <v>0</v>
      </c>
      <c r="O279" s="10">
        <f t="shared" si="71"/>
        <v>0</v>
      </c>
      <c r="P279" s="10">
        <f t="shared" si="71"/>
        <v>0</v>
      </c>
      <c r="Q279" s="660"/>
      <c r="R279" s="10">
        <f t="shared" si="72"/>
        <v>0</v>
      </c>
      <c r="S279" s="10">
        <f t="shared" si="72"/>
        <v>0</v>
      </c>
      <c r="T279" s="10">
        <f t="shared" si="72"/>
        <v>0</v>
      </c>
      <c r="U279" s="660"/>
      <c r="V279" s="10">
        <f t="shared" si="73"/>
        <v>0</v>
      </c>
      <c r="W279" s="10">
        <f t="shared" si="73"/>
        <v>0</v>
      </c>
      <c r="X279" s="10">
        <f t="shared" si="73"/>
        <v>0</v>
      </c>
      <c r="Y279" s="660"/>
      <c r="Z279" s="10">
        <f t="shared" si="74"/>
        <v>0</v>
      </c>
      <c r="AA279" s="10">
        <f t="shared" si="74"/>
        <v>0</v>
      </c>
      <c r="AB279" s="10">
        <f t="shared" si="74"/>
        <v>0</v>
      </c>
    </row>
    <row r="280" spans="1:28" x14ac:dyDescent="0.2">
      <c r="A280" s="8">
        <v>17650</v>
      </c>
      <c r="B280" s="77" t="str">
        <f t="shared" si="65"/>
        <v>Uralla</v>
      </c>
      <c r="C280" s="9" t="str">
        <f t="shared" si="66"/>
        <v>NIRW</v>
      </c>
      <c r="D280" s="45" t="str">
        <f t="shared" si="67"/>
        <v>N</v>
      </c>
      <c r="E280" s="10" t="str">
        <f t="shared" si="68"/>
        <v>NEJO</v>
      </c>
      <c r="F280" s="10">
        <f t="shared" si="69"/>
        <v>0</v>
      </c>
      <c r="G280" s="10">
        <f t="shared" si="69"/>
        <v>0</v>
      </c>
      <c r="H280" s="10">
        <f t="shared" si="69"/>
        <v>0</v>
      </c>
      <c r="I280" s="660"/>
      <c r="J280" s="10">
        <f t="shared" si="70"/>
        <v>0</v>
      </c>
      <c r="K280" s="10">
        <f t="shared" si="70"/>
        <v>0</v>
      </c>
      <c r="L280" s="10">
        <f t="shared" si="70"/>
        <v>0</v>
      </c>
      <c r="M280" s="660"/>
      <c r="N280" s="10">
        <f t="shared" si="71"/>
        <v>0</v>
      </c>
      <c r="O280" s="10">
        <f t="shared" si="71"/>
        <v>0</v>
      </c>
      <c r="P280" s="10">
        <f t="shared" si="71"/>
        <v>0</v>
      </c>
      <c r="Q280" s="660"/>
      <c r="R280" s="10">
        <f t="shared" si="72"/>
        <v>0</v>
      </c>
      <c r="S280" s="10">
        <f t="shared" si="72"/>
        <v>0</v>
      </c>
      <c r="T280" s="10">
        <f t="shared" si="72"/>
        <v>0</v>
      </c>
      <c r="U280" s="660"/>
      <c r="V280" s="10">
        <f t="shared" si="73"/>
        <v>0</v>
      </c>
      <c r="W280" s="10">
        <f t="shared" si="73"/>
        <v>0</v>
      </c>
      <c r="X280" s="10">
        <f t="shared" si="73"/>
        <v>0</v>
      </c>
      <c r="Y280" s="660"/>
      <c r="Z280" s="10">
        <f t="shared" si="74"/>
        <v>0</v>
      </c>
      <c r="AA280" s="10">
        <f t="shared" si="74"/>
        <v>0</v>
      </c>
      <c r="AB280" s="10">
        <f t="shared" si="74"/>
        <v>0</v>
      </c>
    </row>
    <row r="281" spans="1:28" x14ac:dyDescent="0.2">
      <c r="A281" s="8">
        <v>17750</v>
      </c>
      <c r="B281" s="77" t="str">
        <f t="shared" si="65"/>
        <v>Wagga Wagga</v>
      </c>
      <c r="C281" s="9" t="str">
        <f t="shared" si="66"/>
        <v>REROC</v>
      </c>
      <c r="D281" s="45" t="str">
        <f t="shared" si="67"/>
        <v>N</v>
      </c>
      <c r="E281" s="10">
        <f t="shared" si="68"/>
        <v>0</v>
      </c>
      <c r="F281" s="10">
        <f t="shared" si="69"/>
        <v>115</v>
      </c>
      <c r="G281" s="10">
        <f t="shared" si="69"/>
        <v>0</v>
      </c>
      <c r="H281" s="10">
        <f t="shared" si="69"/>
        <v>115</v>
      </c>
      <c r="I281" s="660"/>
      <c r="J281" s="10">
        <f t="shared" si="70"/>
        <v>0</v>
      </c>
      <c r="K281" s="10">
        <f t="shared" si="70"/>
        <v>0</v>
      </c>
      <c r="L281" s="10">
        <f t="shared" si="70"/>
        <v>0</v>
      </c>
      <c r="M281" s="660"/>
      <c r="N281" s="10">
        <f t="shared" si="71"/>
        <v>0</v>
      </c>
      <c r="O281" s="10">
        <f t="shared" si="71"/>
        <v>0</v>
      </c>
      <c r="P281" s="10">
        <f t="shared" si="71"/>
        <v>0</v>
      </c>
      <c r="Q281" s="660"/>
      <c r="R281" s="10">
        <f t="shared" si="72"/>
        <v>0</v>
      </c>
      <c r="S281" s="10">
        <f t="shared" si="72"/>
        <v>0</v>
      </c>
      <c r="T281" s="10">
        <f t="shared" si="72"/>
        <v>0</v>
      </c>
      <c r="U281" s="660"/>
      <c r="V281" s="10">
        <f t="shared" si="73"/>
        <v>0</v>
      </c>
      <c r="W281" s="10">
        <f t="shared" si="73"/>
        <v>0</v>
      </c>
      <c r="X281" s="10">
        <f t="shared" si="73"/>
        <v>0</v>
      </c>
      <c r="Y281" s="660"/>
      <c r="Z281" s="10">
        <f t="shared" si="74"/>
        <v>0</v>
      </c>
      <c r="AA281" s="10">
        <f t="shared" si="74"/>
        <v>0</v>
      </c>
      <c r="AB281" s="10">
        <f t="shared" si="74"/>
        <v>0</v>
      </c>
    </row>
    <row r="282" spans="1:28" x14ac:dyDescent="0.2">
      <c r="A282" s="8">
        <v>17850</v>
      </c>
      <c r="B282" s="77" t="str">
        <f t="shared" si="65"/>
        <v>Walcha</v>
      </c>
      <c r="C282" s="9" t="str">
        <f t="shared" si="66"/>
        <v>NIRW</v>
      </c>
      <c r="D282" s="45" t="str">
        <f t="shared" si="67"/>
        <v>N</v>
      </c>
      <c r="E282" s="10" t="str">
        <f t="shared" si="68"/>
        <v>NJO</v>
      </c>
      <c r="F282" s="10">
        <f t="shared" ref="F282:H287" si="75">VLOOKUP($A282,$A$3:$AX$130,F$221,FALSE)</f>
        <v>0</v>
      </c>
      <c r="G282" s="10">
        <f t="shared" si="75"/>
        <v>0</v>
      </c>
      <c r="H282" s="10">
        <f t="shared" si="75"/>
        <v>0</v>
      </c>
      <c r="I282" s="660"/>
      <c r="J282" s="10">
        <f t="shared" ref="J282:L287" si="76">VLOOKUP($A282,$A$3:$AX$130,J$221,FALSE)</f>
        <v>0</v>
      </c>
      <c r="K282" s="10">
        <f t="shared" si="76"/>
        <v>0</v>
      </c>
      <c r="L282" s="10">
        <f t="shared" si="76"/>
        <v>0</v>
      </c>
      <c r="M282" s="660"/>
      <c r="N282" s="10">
        <f t="shared" ref="N282:P287" si="77">VLOOKUP($A282,$A$3:$AX$130,N$221,FALSE)</f>
        <v>0</v>
      </c>
      <c r="O282" s="10">
        <f t="shared" si="77"/>
        <v>0</v>
      </c>
      <c r="P282" s="10">
        <f t="shared" si="77"/>
        <v>0</v>
      </c>
      <c r="Q282" s="660"/>
      <c r="R282" s="10">
        <f t="shared" ref="R282:T287" si="78">VLOOKUP($A282,$A$3:$AX$130,R$221,FALSE)</f>
        <v>0</v>
      </c>
      <c r="S282" s="10">
        <f t="shared" si="78"/>
        <v>0</v>
      </c>
      <c r="T282" s="10">
        <f t="shared" si="78"/>
        <v>0</v>
      </c>
      <c r="U282" s="660"/>
      <c r="V282" s="10">
        <f t="shared" ref="V282:X287" si="79">VLOOKUP($A282,$A$3:$AX$130,V$221,FALSE)</f>
        <v>0</v>
      </c>
      <c r="W282" s="10">
        <f t="shared" si="79"/>
        <v>0</v>
      </c>
      <c r="X282" s="10">
        <f t="shared" si="79"/>
        <v>0</v>
      </c>
      <c r="Y282" s="660"/>
      <c r="Z282" s="10">
        <f t="shared" ref="Z282:AB287" si="80">VLOOKUP($A282,$A$3:$AX$130,Z$221,FALSE)</f>
        <v>0</v>
      </c>
      <c r="AA282" s="10">
        <f t="shared" si="80"/>
        <v>0</v>
      </c>
      <c r="AB282" s="10">
        <f t="shared" si="80"/>
        <v>0</v>
      </c>
    </row>
    <row r="283" spans="1:28" x14ac:dyDescent="0.2">
      <c r="A283" s="8">
        <v>17900</v>
      </c>
      <c r="B283" s="77" t="str">
        <f t="shared" si="65"/>
        <v>Walgett</v>
      </c>
      <c r="C283" s="9" t="str">
        <f t="shared" si="66"/>
        <v>NetWaste</v>
      </c>
      <c r="D283" s="45" t="str">
        <f t="shared" si="67"/>
        <v>N</v>
      </c>
      <c r="E283" s="10" t="str">
        <f t="shared" si="68"/>
        <v>FNWJO</v>
      </c>
      <c r="F283" s="10">
        <f t="shared" si="75"/>
        <v>0</v>
      </c>
      <c r="G283" s="10">
        <f t="shared" si="75"/>
        <v>0</v>
      </c>
      <c r="H283" s="10">
        <f t="shared" si="75"/>
        <v>0</v>
      </c>
      <c r="I283" s="660"/>
      <c r="J283" s="10">
        <f t="shared" si="76"/>
        <v>0</v>
      </c>
      <c r="K283" s="10">
        <f t="shared" si="76"/>
        <v>0</v>
      </c>
      <c r="L283" s="10">
        <f t="shared" si="76"/>
        <v>0</v>
      </c>
      <c r="M283" s="660"/>
      <c r="N283" s="10">
        <f t="shared" si="77"/>
        <v>0</v>
      </c>
      <c r="O283" s="10">
        <f t="shared" si="77"/>
        <v>0</v>
      </c>
      <c r="P283" s="10">
        <f t="shared" si="77"/>
        <v>0</v>
      </c>
      <c r="Q283" s="660"/>
      <c r="R283" s="10">
        <f t="shared" si="78"/>
        <v>0</v>
      </c>
      <c r="S283" s="10">
        <f t="shared" si="78"/>
        <v>0</v>
      </c>
      <c r="T283" s="10">
        <f t="shared" si="78"/>
        <v>0</v>
      </c>
      <c r="U283" s="660"/>
      <c r="V283" s="10">
        <f t="shared" si="79"/>
        <v>0</v>
      </c>
      <c r="W283" s="10">
        <f t="shared" si="79"/>
        <v>0</v>
      </c>
      <c r="X283" s="10">
        <f t="shared" si="79"/>
        <v>0</v>
      </c>
      <c r="Y283" s="660"/>
      <c r="Z283" s="10">
        <f t="shared" si="80"/>
        <v>0</v>
      </c>
      <c r="AA283" s="10">
        <f t="shared" si="80"/>
        <v>0</v>
      </c>
      <c r="AB283" s="10">
        <f t="shared" si="80"/>
        <v>0</v>
      </c>
    </row>
    <row r="284" spans="1:28" x14ac:dyDescent="0.2">
      <c r="A284" s="8">
        <v>17950</v>
      </c>
      <c r="B284" s="77" t="str">
        <f t="shared" si="65"/>
        <v>Warren</v>
      </c>
      <c r="C284" s="9" t="str">
        <f t="shared" si="66"/>
        <v>NetWaste</v>
      </c>
      <c r="D284" s="45" t="str">
        <f t="shared" si="67"/>
        <v>N</v>
      </c>
      <c r="E284" s="10" t="str">
        <f t="shared" si="68"/>
        <v>OJO</v>
      </c>
      <c r="F284" s="10">
        <f t="shared" si="75"/>
        <v>0</v>
      </c>
      <c r="G284" s="10">
        <f t="shared" si="75"/>
        <v>0</v>
      </c>
      <c r="H284" s="10">
        <f t="shared" si="75"/>
        <v>0</v>
      </c>
      <c r="I284" s="660"/>
      <c r="J284" s="10">
        <f t="shared" si="76"/>
        <v>0</v>
      </c>
      <c r="K284" s="10">
        <f t="shared" si="76"/>
        <v>0</v>
      </c>
      <c r="L284" s="10">
        <f t="shared" si="76"/>
        <v>0</v>
      </c>
      <c r="M284" s="660"/>
      <c r="N284" s="10">
        <f t="shared" si="77"/>
        <v>0</v>
      </c>
      <c r="O284" s="10">
        <f t="shared" si="77"/>
        <v>0</v>
      </c>
      <c r="P284" s="10">
        <f t="shared" si="77"/>
        <v>0</v>
      </c>
      <c r="Q284" s="660"/>
      <c r="R284" s="10">
        <f t="shared" si="78"/>
        <v>0</v>
      </c>
      <c r="S284" s="10">
        <f t="shared" si="78"/>
        <v>0</v>
      </c>
      <c r="T284" s="10">
        <f t="shared" si="78"/>
        <v>0</v>
      </c>
      <c r="U284" s="660"/>
      <c r="V284" s="10">
        <f t="shared" si="79"/>
        <v>0</v>
      </c>
      <c r="W284" s="10">
        <f t="shared" si="79"/>
        <v>0</v>
      </c>
      <c r="X284" s="10">
        <f t="shared" si="79"/>
        <v>0</v>
      </c>
      <c r="Y284" s="660"/>
      <c r="Z284" s="10">
        <f t="shared" si="80"/>
        <v>0</v>
      </c>
      <c r="AA284" s="10">
        <f t="shared" si="80"/>
        <v>0</v>
      </c>
      <c r="AB284" s="10">
        <f t="shared" si="80"/>
        <v>0</v>
      </c>
    </row>
    <row r="285" spans="1:28" x14ac:dyDescent="0.2">
      <c r="A285" s="8">
        <v>18020</v>
      </c>
      <c r="B285" s="77" t="str">
        <f t="shared" si="65"/>
        <v>Warrumbungle Shire</v>
      </c>
      <c r="C285" s="9" t="str">
        <f t="shared" si="66"/>
        <v>NetWaste</v>
      </c>
      <c r="D285" s="45" t="str">
        <f t="shared" si="67"/>
        <v>N</v>
      </c>
      <c r="E285" s="10" t="str">
        <f t="shared" si="68"/>
        <v>OJO</v>
      </c>
      <c r="F285" s="10">
        <f t="shared" si="75"/>
        <v>0</v>
      </c>
      <c r="G285" s="10">
        <f t="shared" si="75"/>
        <v>0</v>
      </c>
      <c r="H285" s="10">
        <f t="shared" si="75"/>
        <v>0</v>
      </c>
      <c r="I285" s="660"/>
      <c r="J285" s="10">
        <f t="shared" si="76"/>
        <v>0</v>
      </c>
      <c r="K285" s="10">
        <f t="shared" si="76"/>
        <v>0</v>
      </c>
      <c r="L285" s="10">
        <f t="shared" si="76"/>
        <v>0</v>
      </c>
      <c r="M285" s="660"/>
      <c r="N285" s="10">
        <f t="shared" si="77"/>
        <v>0</v>
      </c>
      <c r="O285" s="10">
        <f t="shared" si="77"/>
        <v>0</v>
      </c>
      <c r="P285" s="10">
        <f t="shared" si="77"/>
        <v>0</v>
      </c>
      <c r="Q285" s="660"/>
      <c r="R285" s="10">
        <f t="shared" si="78"/>
        <v>0</v>
      </c>
      <c r="S285" s="10">
        <f t="shared" si="78"/>
        <v>0</v>
      </c>
      <c r="T285" s="10">
        <f t="shared" si="78"/>
        <v>0</v>
      </c>
      <c r="U285" s="660"/>
      <c r="V285" s="10">
        <f t="shared" si="79"/>
        <v>0</v>
      </c>
      <c r="W285" s="10">
        <f t="shared" si="79"/>
        <v>0</v>
      </c>
      <c r="X285" s="10">
        <f t="shared" si="79"/>
        <v>0</v>
      </c>
      <c r="Y285" s="660"/>
      <c r="Z285" s="10">
        <f t="shared" si="80"/>
        <v>0</v>
      </c>
      <c r="AA285" s="10">
        <f t="shared" si="80"/>
        <v>0</v>
      </c>
      <c r="AB285" s="10">
        <f t="shared" si="80"/>
        <v>0</v>
      </c>
    </row>
    <row r="286" spans="1:28" x14ac:dyDescent="0.2">
      <c r="A286" s="8">
        <v>18100</v>
      </c>
      <c r="B286" s="77" t="str">
        <f t="shared" si="65"/>
        <v>Weddin</v>
      </c>
      <c r="C286" s="9" t="str">
        <f t="shared" si="66"/>
        <v>NetWaste</v>
      </c>
      <c r="D286" s="45" t="str">
        <f t="shared" si="67"/>
        <v>N</v>
      </c>
      <c r="E286" s="10" t="str">
        <f t="shared" si="68"/>
        <v>CNJO</v>
      </c>
      <c r="F286" s="10">
        <f t="shared" si="75"/>
        <v>0</v>
      </c>
      <c r="G286" s="10">
        <f t="shared" si="75"/>
        <v>0</v>
      </c>
      <c r="H286" s="10">
        <f t="shared" si="75"/>
        <v>0</v>
      </c>
      <c r="I286" s="660"/>
      <c r="J286" s="10">
        <f t="shared" si="76"/>
        <v>0</v>
      </c>
      <c r="K286" s="10">
        <f t="shared" si="76"/>
        <v>0</v>
      </c>
      <c r="L286" s="10">
        <f t="shared" si="76"/>
        <v>0</v>
      </c>
      <c r="M286" s="660"/>
      <c r="N286" s="10">
        <f t="shared" si="77"/>
        <v>0</v>
      </c>
      <c r="O286" s="10">
        <f t="shared" si="77"/>
        <v>0</v>
      </c>
      <c r="P286" s="10">
        <f t="shared" si="77"/>
        <v>0</v>
      </c>
      <c r="Q286" s="660"/>
      <c r="R286" s="10">
        <f t="shared" si="78"/>
        <v>0</v>
      </c>
      <c r="S286" s="10">
        <f t="shared" si="78"/>
        <v>0</v>
      </c>
      <c r="T286" s="10">
        <f t="shared" si="78"/>
        <v>0</v>
      </c>
      <c r="U286" s="660"/>
      <c r="V286" s="10">
        <f t="shared" si="79"/>
        <v>0</v>
      </c>
      <c r="W286" s="10">
        <f t="shared" si="79"/>
        <v>0</v>
      </c>
      <c r="X286" s="10">
        <f t="shared" si="79"/>
        <v>0</v>
      </c>
      <c r="Y286" s="660"/>
      <c r="Z286" s="10">
        <f t="shared" si="80"/>
        <v>0</v>
      </c>
      <c r="AA286" s="10">
        <f t="shared" si="80"/>
        <v>0</v>
      </c>
      <c r="AB286" s="10">
        <f t="shared" si="80"/>
        <v>0</v>
      </c>
    </row>
    <row r="287" spans="1:28" x14ac:dyDescent="0.2">
      <c r="A287" s="8">
        <v>18200</v>
      </c>
      <c r="B287" s="77" t="str">
        <f t="shared" si="65"/>
        <v>Wentworth</v>
      </c>
      <c r="C287" s="9" t="str">
        <f t="shared" si="66"/>
        <v>RAMJO Murray</v>
      </c>
      <c r="D287" s="45" t="str">
        <f t="shared" si="67"/>
        <v>N</v>
      </c>
      <c r="E287" s="10" t="str">
        <f t="shared" si="68"/>
        <v>FSWJO</v>
      </c>
      <c r="F287" s="10">
        <f t="shared" si="75"/>
        <v>0</v>
      </c>
      <c r="G287" s="10">
        <f t="shared" si="75"/>
        <v>0</v>
      </c>
      <c r="H287" s="10">
        <f t="shared" si="75"/>
        <v>0</v>
      </c>
      <c r="I287" s="660"/>
      <c r="J287" s="10">
        <f t="shared" si="76"/>
        <v>0</v>
      </c>
      <c r="K287" s="10">
        <f t="shared" si="76"/>
        <v>0</v>
      </c>
      <c r="L287" s="10">
        <f t="shared" si="76"/>
        <v>0</v>
      </c>
      <c r="M287" s="660"/>
      <c r="N287" s="10">
        <f t="shared" si="77"/>
        <v>0</v>
      </c>
      <c r="O287" s="10">
        <f t="shared" si="77"/>
        <v>0</v>
      </c>
      <c r="P287" s="10">
        <f t="shared" si="77"/>
        <v>0</v>
      </c>
      <c r="Q287" s="660"/>
      <c r="R287" s="10">
        <f t="shared" si="78"/>
        <v>0</v>
      </c>
      <c r="S287" s="10">
        <f t="shared" si="78"/>
        <v>0</v>
      </c>
      <c r="T287" s="10">
        <f t="shared" si="78"/>
        <v>0</v>
      </c>
      <c r="U287" s="660"/>
      <c r="V287" s="10">
        <f t="shared" si="79"/>
        <v>0</v>
      </c>
      <c r="W287" s="10">
        <f t="shared" si="79"/>
        <v>0</v>
      </c>
      <c r="X287" s="10">
        <f t="shared" si="79"/>
        <v>0</v>
      </c>
      <c r="Y287" s="660"/>
      <c r="Z287" s="10">
        <f t="shared" si="80"/>
        <v>0</v>
      </c>
      <c r="AA287" s="10">
        <f t="shared" si="80"/>
        <v>0</v>
      </c>
      <c r="AB287" s="10">
        <f t="shared" si="80"/>
        <v>0</v>
      </c>
    </row>
    <row r="288" spans="1:28" ht="13.5" thickBot="1" x14ac:dyDescent="0.25">
      <c r="A288" s="8">
        <v>18710</v>
      </c>
      <c r="B288" s="77" t="str">
        <f t="shared" si="65"/>
        <v>Yass Valley</v>
      </c>
      <c r="C288" s="9" t="str">
        <f t="shared" si="66"/>
        <v>CRJO</v>
      </c>
      <c r="D288" s="45" t="str">
        <f t="shared" si="67"/>
        <v>N</v>
      </c>
      <c r="E288" s="10" t="str">
        <f t="shared" si="68"/>
        <v>CRJO</v>
      </c>
      <c r="F288" s="10">
        <v>0</v>
      </c>
      <c r="G288" s="10">
        <v>0</v>
      </c>
      <c r="H288" s="10">
        <v>0</v>
      </c>
      <c r="I288" s="660"/>
      <c r="J288" s="10"/>
      <c r="K288" s="10">
        <v>0</v>
      </c>
      <c r="L288" s="10">
        <v>0</v>
      </c>
      <c r="M288" s="660"/>
      <c r="N288" s="10"/>
      <c r="O288" s="10">
        <v>0</v>
      </c>
      <c r="P288" s="10">
        <v>0</v>
      </c>
      <c r="Q288" s="660"/>
      <c r="R288" s="10"/>
      <c r="S288" s="10">
        <v>0</v>
      </c>
      <c r="T288" s="10">
        <v>0</v>
      </c>
      <c r="U288" s="660"/>
      <c r="V288" s="10"/>
      <c r="W288" s="10">
        <v>0</v>
      </c>
      <c r="X288" s="10">
        <v>0</v>
      </c>
      <c r="Y288" s="660"/>
      <c r="Z288" s="10">
        <v>0</v>
      </c>
      <c r="AA288" s="10">
        <v>0</v>
      </c>
      <c r="AB288" s="10">
        <v>0</v>
      </c>
    </row>
    <row r="289" spans="1:28" ht="13.5" thickTop="1" x14ac:dyDescent="0.2">
      <c r="A289" s="11"/>
      <c r="B289" s="11"/>
      <c r="C289" s="11" t="s">
        <v>26</v>
      </c>
      <c r="D289" s="11"/>
      <c r="F289" s="13">
        <f t="shared" ref="F289:AA289" si="81">COUNTIF(F270:F288,"&gt;0")</f>
        <v>7</v>
      </c>
      <c r="G289" s="13">
        <f t="shared" si="81"/>
        <v>1</v>
      </c>
      <c r="H289" s="13">
        <f t="shared" si="81"/>
        <v>7</v>
      </c>
      <c r="I289" s="661"/>
      <c r="J289" s="13">
        <f t="shared" si="81"/>
        <v>4</v>
      </c>
      <c r="K289" s="13">
        <f t="shared" si="81"/>
        <v>2</v>
      </c>
      <c r="L289" s="13">
        <f t="shared" si="81"/>
        <v>2</v>
      </c>
      <c r="M289" s="661"/>
      <c r="N289" s="13">
        <f t="shared" si="81"/>
        <v>3</v>
      </c>
      <c r="O289" s="13">
        <f t="shared" si="81"/>
        <v>3</v>
      </c>
      <c r="P289" s="13">
        <f t="shared" si="81"/>
        <v>0</v>
      </c>
      <c r="Q289" s="661"/>
      <c r="R289" s="13">
        <f t="shared" si="81"/>
        <v>1</v>
      </c>
      <c r="S289" s="13">
        <f t="shared" si="81"/>
        <v>1</v>
      </c>
      <c r="T289" s="13">
        <f t="shared" si="81"/>
        <v>0</v>
      </c>
      <c r="U289" s="661"/>
      <c r="V289" s="13">
        <f t="shared" si="81"/>
        <v>0</v>
      </c>
      <c r="W289" s="13">
        <f t="shared" si="81"/>
        <v>0</v>
      </c>
      <c r="X289" s="13">
        <f t="shared" si="81"/>
        <v>0</v>
      </c>
      <c r="Y289" s="661"/>
      <c r="Z289" s="13">
        <f t="shared" si="81"/>
        <v>3</v>
      </c>
      <c r="AA289" s="13">
        <f t="shared" si="81"/>
        <v>2</v>
      </c>
      <c r="AB289" s="13">
        <f t="shared" ref="AB289" si="82">COUNTIF(AB270:AB288,"&gt;0")</f>
        <v>1</v>
      </c>
    </row>
    <row r="290" spans="1:28" x14ac:dyDescent="0.2">
      <c r="A290" s="8"/>
      <c r="B290" s="14" t="s">
        <v>528</v>
      </c>
      <c r="C290" s="8" t="s">
        <v>27</v>
      </c>
      <c r="D290" s="8"/>
      <c r="F290" s="15">
        <f t="shared" ref="F290:AA290" si="83">SUM(F270:F288)</f>
        <v>1147.8699999999999</v>
      </c>
      <c r="G290" s="15">
        <f t="shared" si="83"/>
        <v>5</v>
      </c>
      <c r="H290" s="15">
        <f t="shared" si="83"/>
        <v>1142.8699999999999</v>
      </c>
      <c r="I290" s="662"/>
      <c r="J290" s="15">
        <f t="shared" si="83"/>
        <v>64.990000000000009</v>
      </c>
      <c r="K290" s="15">
        <f t="shared" si="83"/>
        <v>59.35</v>
      </c>
      <c r="L290" s="15">
        <f t="shared" si="83"/>
        <v>5.64</v>
      </c>
      <c r="M290" s="662"/>
      <c r="N290" s="15">
        <f t="shared" si="83"/>
        <v>106.96</v>
      </c>
      <c r="O290" s="15">
        <f t="shared" si="83"/>
        <v>106.96</v>
      </c>
      <c r="P290" s="15">
        <f t="shared" si="83"/>
        <v>0</v>
      </c>
      <c r="Q290" s="662"/>
      <c r="R290" s="15">
        <f t="shared" si="83"/>
        <v>0.06</v>
      </c>
      <c r="S290" s="15">
        <f t="shared" si="83"/>
        <v>0.06</v>
      </c>
      <c r="T290" s="15">
        <f t="shared" si="83"/>
        <v>0</v>
      </c>
      <c r="U290" s="662"/>
      <c r="V290" s="15">
        <f t="shared" si="83"/>
        <v>0</v>
      </c>
      <c r="W290" s="15">
        <f t="shared" si="83"/>
        <v>0</v>
      </c>
      <c r="X290" s="15">
        <f t="shared" si="83"/>
        <v>0</v>
      </c>
      <c r="Y290" s="662"/>
      <c r="Z290" s="15">
        <f t="shared" si="83"/>
        <v>18.23</v>
      </c>
      <c r="AA290" s="15">
        <f t="shared" si="83"/>
        <v>13.23</v>
      </c>
      <c r="AB290" s="15">
        <f t="shared" ref="AB290" si="84">SUM(AB270:AB288)</f>
        <v>5</v>
      </c>
    </row>
    <row r="291" spans="1:28" x14ac:dyDescent="0.2">
      <c r="A291" s="8"/>
      <c r="B291" s="14"/>
      <c r="C291" s="8" t="s">
        <v>28</v>
      </c>
      <c r="D291" s="8"/>
      <c r="F291" s="10">
        <f t="shared" ref="F291:AA291" si="85">MIN(F270:F288)</f>
        <v>0</v>
      </c>
      <c r="G291" s="10">
        <f t="shared" si="85"/>
        <v>0</v>
      </c>
      <c r="H291" s="10">
        <f t="shared" si="85"/>
        <v>0</v>
      </c>
      <c r="I291" s="660"/>
      <c r="J291" s="10">
        <f t="shared" si="85"/>
        <v>0</v>
      </c>
      <c r="K291" s="10">
        <f t="shared" si="85"/>
        <v>0</v>
      </c>
      <c r="L291" s="10">
        <f t="shared" si="85"/>
        <v>0</v>
      </c>
      <c r="M291" s="660"/>
      <c r="N291" s="10">
        <f t="shared" si="85"/>
        <v>0</v>
      </c>
      <c r="O291" s="10">
        <f t="shared" si="85"/>
        <v>0</v>
      </c>
      <c r="P291" s="10">
        <f t="shared" si="85"/>
        <v>0</v>
      </c>
      <c r="Q291" s="660"/>
      <c r="R291" s="10">
        <f t="shared" si="85"/>
        <v>0</v>
      </c>
      <c r="S291" s="10">
        <f t="shared" si="85"/>
        <v>0</v>
      </c>
      <c r="T291" s="10">
        <f t="shared" si="85"/>
        <v>0</v>
      </c>
      <c r="U291" s="660"/>
      <c r="V291" s="10">
        <f t="shared" si="85"/>
        <v>0</v>
      </c>
      <c r="W291" s="10">
        <f t="shared" si="85"/>
        <v>0</v>
      </c>
      <c r="X291" s="10">
        <f t="shared" si="85"/>
        <v>0</v>
      </c>
      <c r="Y291" s="660"/>
      <c r="Z291" s="10">
        <f t="shared" si="85"/>
        <v>0</v>
      </c>
      <c r="AA291" s="10">
        <f t="shared" si="85"/>
        <v>0</v>
      </c>
      <c r="AB291" s="10">
        <f t="shared" ref="AB291" si="86">MIN(AB270:AB288)</f>
        <v>0</v>
      </c>
    </row>
    <row r="292" spans="1:28" x14ac:dyDescent="0.2">
      <c r="A292" s="8"/>
      <c r="B292" s="14"/>
      <c r="C292" s="8" t="s">
        <v>29</v>
      </c>
      <c r="D292" s="8"/>
      <c r="F292" s="10">
        <f t="shared" ref="F292:AA292" si="87">MAX(F270:F288)</f>
        <v>506.94</v>
      </c>
      <c r="G292" s="10">
        <f t="shared" si="87"/>
        <v>5</v>
      </c>
      <c r="H292" s="10">
        <f t="shared" si="87"/>
        <v>506.94</v>
      </c>
      <c r="I292" s="660"/>
      <c r="J292" s="10">
        <f t="shared" si="87"/>
        <v>45</v>
      </c>
      <c r="K292" s="10">
        <f t="shared" si="87"/>
        <v>45</v>
      </c>
      <c r="L292" s="10">
        <f t="shared" si="87"/>
        <v>4</v>
      </c>
      <c r="M292" s="660"/>
      <c r="N292" s="10">
        <f t="shared" si="87"/>
        <v>88.46</v>
      </c>
      <c r="O292" s="10">
        <f t="shared" si="87"/>
        <v>88.46</v>
      </c>
      <c r="P292" s="10">
        <f t="shared" si="87"/>
        <v>0</v>
      </c>
      <c r="Q292" s="660"/>
      <c r="R292" s="10">
        <f t="shared" si="87"/>
        <v>0.06</v>
      </c>
      <c r="S292" s="10">
        <f t="shared" si="87"/>
        <v>0.06</v>
      </c>
      <c r="T292" s="10">
        <f t="shared" si="87"/>
        <v>0</v>
      </c>
      <c r="U292" s="660"/>
      <c r="V292" s="10">
        <f t="shared" si="87"/>
        <v>0</v>
      </c>
      <c r="W292" s="10">
        <f t="shared" si="87"/>
        <v>0</v>
      </c>
      <c r="X292" s="10">
        <f t="shared" si="87"/>
        <v>0</v>
      </c>
      <c r="Y292" s="660"/>
      <c r="Z292" s="10">
        <f t="shared" si="87"/>
        <v>7.23</v>
      </c>
      <c r="AA292" s="10">
        <f t="shared" si="87"/>
        <v>7.23</v>
      </c>
      <c r="AB292" s="10">
        <f t="shared" ref="AB292" si="88">MAX(AB270:AB288)</f>
        <v>5</v>
      </c>
    </row>
    <row r="293" spans="1:28" x14ac:dyDescent="0.2">
      <c r="A293" s="8"/>
      <c r="B293" s="14"/>
      <c r="C293" s="8" t="s">
        <v>30</v>
      </c>
      <c r="D293" s="8"/>
      <c r="F293" s="10">
        <f t="shared" ref="F293:AA293" si="89">AVERAGE(F270:F288)</f>
        <v>60.414210526315784</v>
      </c>
      <c r="G293" s="10">
        <f t="shared" si="89"/>
        <v>0.26315789473684209</v>
      </c>
      <c r="H293" s="10">
        <f t="shared" si="89"/>
        <v>60.151052631578942</v>
      </c>
      <c r="I293" s="660"/>
      <c r="J293" s="10">
        <f t="shared" si="89"/>
        <v>3.610555555555556</v>
      </c>
      <c r="K293" s="10">
        <f t="shared" si="89"/>
        <v>3.1236842105263158</v>
      </c>
      <c r="L293" s="10">
        <f t="shared" si="89"/>
        <v>0.29684210526315785</v>
      </c>
      <c r="M293" s="660"/>
      <c r="N293" s="10">
        <f t="shared" si="89"/>
        <v>5.9422222222222221</v>
      </c>
      <c r="O293" s="10">
        <f t="shared" si="89"/>
        <v>5.6294736842105264</v>
      </c>
      <c r="P293" s="10">
        <f t="shared" si="89"/>
        <v>0</v>
      </c>
      <c r="Q293" s="660"/>
      <c r="R293" s="10">
        <f t="shared" si="89"/>
        <v>3.3333333333333331E-3</v>
      </c>
      <c r="S293" s="10">
        <f t="shared" si="89"/>
        <v>3.1578947368421052E-3</v>
      </c>
      <c r="T293" s="10">
        <f t="shared" si="89"/>
        <v>0</v>
      </c>
      <c r="U293" s="660"/>
      <c r="V293" s="10">
        <f t="shared" si="89"/>
        <v>0</v>
      </c>
      <c r="W293" s="10">
        <f t="shared" si="89"/>
        <v>0</v>
      </c>
      <c r="X293" s="10">
        <f t="shared" si="89"/>
        <v>0</v>
      </c>
      <c r="Y293" s="660"/>
      <c r="Z293" s="10">
        <f t="shared" si="89"/>
        <v>0.95947368421052637</v>
      </c>
      <c r="AA293" s="10">
        <f t="shared" si="89"/>
        <v>0.69631578947368422</v>
      </c>
      <c r="AB293" s="10">
        <f t="shared" ref="AB293" si="90">AVERAGE(AB270:AB288)</f>
        <v>0.26315789473684209</v>
      </c>
    </row>
    <row r="294" spans="1:28" ht="13.5" thickBot="1" x14ac:dyDescent="0.25">
      <c r="A294" s="16"/>
      <c r="B294" s="17"/>
      <c r="C294" s="16" t="s">
        <v>31</v>
      </c>
      <c r="D294" s="16"/>
      <c r="F294" s="18">
        <f t="shared" ref="F294:AA294" si="91">MEDIAN(F270:F288)</f>
        <v>0</v>
      </c>
      <c r="G294" s="18">
        <f t="shared" si="91"/>
        <v>0</v>
      </c>
      <c r="H294" s="18">
        <f t="shared" si="91"/>
        <v>0</v>
      </c>
      <c r="I294" s="663"/>
      <c r="J294" s="18">
        <f t="shared" si="91"/>
        <v>0</v>
      </c>
      <c r="K294" s="18">
        <f t="shared" si="91"/>
        <v>0</v>
      </c>
      <c r="L294" s="18">
        <f t="shared" si="91"/>
        <v>0</v>
      </c>
      <c r="M294" s="663"/>
      <c r="N294" s="18">
        <f t="shared" si="91"/>
        <v>0</v>
      </c>
      <c r="O294" s="18">
        <f t="shared" si="91"/>
        <v>0</v>
      </c>
      <c r="P294" s="18">
        <f t="shared" si="91"/>
        <v>0</v>
      </c>
      <c r="Q294" s="663"/>
      <c r="R294" s="18">
        <f t="shared" si="91"/>
        <v>0</v>
      </c>
      <c r="S294" s="18">
        <f t="shared" si="91"/>
        <v>0</v>
      </c>
      <c r="T294" s="18">
        <f t="shared" si="91"/>
        <v>0</v>
      </c>
      <c r="U294" s="663"/>
      <c r="V294" s="18">
        <f t="shared" si="91"/>
        <v>0</v>
      </c>
      <c r="W294" s="18">
        <f t="shared" si="91"/>
        <v>0</v>
      </c>
      <c r="X294" s="18">
        <f t="shared" si="91"/>
        <v>0</v>
      </c>
      <c r="Y294" s="663"/>
      <c r="Z294" s="18">
        <f t="shared" si="91"/>
        <v>0</v>
      </c>
      <c r="AA294" s="18">
        <f t="shared" si="91"/>
        <v>0</v>
      </c>
      <c r="AB294" s="18">
        <f t="shared" ref="AB294" si="92">MEDIAN(AB270:AB288)</f>
        <v>0</v>
      </c>
    </row>
    <row r="295" spans="1:28" ht="13.5" thickTop="1" x14ac:dyDescent="0.2"/>
  </sheetData>
  <sortState xmlns:xlrd2="http://schemas.microsoft.com/office/spreadsheetml/2017/richdata2" columnSort="1" ref="F3:AB294">
    <sortCondition ref="F3:AB3"/>
  </sortState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App 1 - Services</vt:lpstr>
      <vt:lpstr>App 2 - Totals</vt:lpstr>
      <vt:lpstr>App 3 - Recycling Rate</vt:lpstr>
      <vt:lpstr>App 4 - Recyclables</vt:lpstr>
      <vt:lpstr>App 5 - Organics</vt:lpstr>
      <vt:lpstr>App 6 - Residual Waste</vt:lpstr>
      <vt:lpstr>App 7 - HH &amp; Capita</vt:lpstr>
      <vt:lpstr>App 8 - Bin Size</vt:lpstr>
      <vt:lpstr>App 8a - Materials Accepted</vt:lpstr>
      <vt:lpstr>App 9 - AWT</vt:lpstr>
      <vt:lpstr>App 10 - Cleanup materials</vt:lpstr>
      <vt:lpstr>'App 1 - Services'!Print_Area</vt:lpstr>
      <vt:lpstr>'App 1 - Services'!Print_Titles</vt:lpstr>
    </vt:vector>
  </TitlesOfParts>
  <Company>Office of Environment and Heritage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White</dc:creator>
  <cp:lastModifiedBy>Nic Dalton</cp:lastModifiedBy>
  <cp:lastPrinted>2019-05-30T01:28:08Z</cp:lastPrinted>
  <dcterms:created xsi:type="dcterms:W3CDTF">2014-12-11T00:49:17Z</dcterms:created>
  <dcterms:modified xsi:type="dcterms:W3CDTF">2024-10-22T02:11:57Z</dcterms:modified>
</cp:coreProperties>
</file>